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9014" windowHeight="6702"/>
  </bookViews>
  <sheets>
    <sheet name="Data" sheetId="1" r:id="rId1"/>
    <sheet name="Energy Balance Solution" sheetId="6" r:id="rId2"/>
  </sheets>
  <calcPr calcId="145621"/>
</workbook>
</file>

<file path=xl/calcChain.xml><?xml version="1.0" encoding="utf-8"?>
<calcChain xmlns="http://schemas.openxmlformats.org/spreadsheetml/2006/main">
  <c r="E11" i="6" l="1"/>
  <c r="C42" i="1" l="1"/>
  <c r="B1" i="6" l="1"/>
  <c r="I41" i="6" l="1"/>
  <c r="C62" i="6" s="1"/>
  <c r="G41" i="6"/>
  <c r="H41" i="6" s="1"/>
  <c r="G40" i="6"/>
  <c r="H40" i="6" s="1"/>
  <c r="G39" i="6"/>
  <c r="H39" i="6" s="1"/>
  <c r="I39" i="6" s="1"/>
  <c r="G38" i="6"/>
  <c r="H38" i="6" s="1"/>
  <c r="I38" i="6" s="1"/>
  <c r="C61" i="6" s="1"/>
  <c r="B53" i="6"/>
  <c r="B52" i="6"/>
  <c r="G24" i="6"/>
  <c r="H24" i="6" s="1"/>
  <c r="I24" i="6" s="1"/>
  <c r="G23" i="6"/>
  <c r="H23" i="6" s="1"/>
  <c r="I23" i="6" s="1"/>
  <c r="G20" i="6"/>
  <c r="H20" i="6" s="1"/>
  <c r="I20" i="6" s="1"/>
  <c r="G27" i="6"/>
  <c r="H27" i="6" s="1"/>
  <c r="I27" i="6" s="1"/>
  <c r="G30" i="6"/>
  <c r="H30" i="6" s="1"/>
  <c r="I30" i="6" s="1"/>
  <c r="G29" i="6"/>
  <c r="H29" i="6" s="1"/>
  <c r="I29" i="6" s="1"/>
  <c r="G28" i="6"/>
  <c r="H28" i="6" s="1"/>
  <c r="I28" i="6" s="1"/>
  <c r="G26" i="6"/>
  <c r="H26" i="6" s="1"/>
  <c r="I26" i="6" s="1"/>
  <c r="G25" i="6"/>
  <c r="H25" i="6" s="1"/>
  <c r="I25" i="6" s="1"/>
  <c r="G22" i="6"/>
  <c r="H22" i="6" s="1"/>
  <c r="I22" i="6" s="1"/>
  <c r="C57" i="6" s="1"/>
  <c r="G21" i="6"/>
  <c r="H21" i="6" s="1"/>
  <c r="I21" i="6" s="1"/>
  <c r="C56" i="6" s="1"/>
  <c r="G19" i="6"/>
  <c r="H19" i="6" s="1"/>
  <c r="I19" i="6" s="1"/>
  <c r="C55" i="6" s="1"/>
  <c r="G18" i="6"/>
  <c r="H18" i="6" s="1"/>
  <c r="I18" i="6" s="1"/>
  <c r="C54" i="6" s="1"/>
  <c r="G17" i="6"/>
  <c r="H17" i="6" s="1"/>
  <c r="I17" i="6" s="1"/>
  <c r="G59" i="1"/>
  <c r="C6" i="6" s="1"/>
  <c r="E6" i="6" s="1"/>
  <c r="I40" i="6" l="1"/>
  <c r="D129" i="1" l="1"/>
  <c r="C129" i="1"/>
  <c r="H111" i="1"/>
  <c r="G111" i="1"/>
  <c r="F111" i="1"/>
  <c r="E111" i="1"/>
  <c r="D111" i="1"/>
  <c r="C111" i="1"/>
  <c r="C94" i="1"/>
  <c r="C10" i="6" s="1"/>
  <c r="E10" i="6" s="1"/>
  <c r="F77" i="1"/>
  <c r="E77" i="1"/>
  <c r="D77" i="1"/>
  <c r="C77" i="1"/>
  <c r="C9" i="6" s="1"/>
  <c r="F59" i="1"/>
  <c r="E59" i="1"/>
  <c r="D59" i="1"/>
  <c r="C59" i="1"/>
  <c r="C29" i="1"/>
  <c r="D57" i="6" l="1"/>
  <c r="D62" i="6"/>
  <c r="D61" i="6"/>
  <c r="D56" i="6"/>
  <c r="D55" i="6"/>
  <c r="D54" i="6"/>
  <c r="H42" i="6"/>
  <c r="E9" i="6"/>
  <c r="C53" i="6" s="1"/>
  <c r="D53" i="6" s="1"/>
  <c r="H32" i="6"/>
  <c r="I32" i="6" s="1"/>
  <c r="C59" i="6" s="1"/>
  <c r="D59" i="6" s="1"/>
  <c r="H31" i="6"/>
  <c r="I31" i="6" s="1"/>
  <c r="C58" i="6" s="1"/>
  <c r="D58" i="6" s="1"/>
  <c r="C7" i="6"/>
  <c r="I42" i="6" l="1"/>
  <c r="C63" i="6" s="1"/>
  <c r="H43" i="6"/>
  <c r="I43" i="6" s="1"/>
  <c r="H33" i="6"/>
  <c r="E8" i="6"/>
  <c r="E7" i="6"/>
  <c r="C52" i="6" s="1"/>
  <c r="D52" i="6" s="1"/>
  <c r="I44" i="6" l="1"/>
  <c r="I45" i="6" s="1"/>
  <c r="H34" i="6"/>
  <c r="I34" i="6" s="1"/>
  <c r="I33" i="6"/>
  <c r="C60" i="6" s="1"/>
  <c r="J39" i="6" l="1"/>
  <c r="J41" i="6"/>
  <c r="J38" i="6"/>
  <c r="J40" i="6"/>
  <c r="J21" i="6"/>
  <c r="J19" i="6"/>
  <c r="J20" i="6"/>
  <c r="F8" i="6"/>
  <c r="F10" i="6"/>
  <c r="J44" i="6"/>
  <c r="J42" i="6"/>
  <c r="D63" i="6" s="1"/>
  <c r="J43" i="6"/>
  <c r="J33" i="6"/>
  <c r="D60" i="6" s="1"/>
  <c r="J18" i="6"/>
  <c r="J26" i="6"/>
  <c r="J17" i="6"/>
  <c r="J27" i="6"/>
  <c r="J24" i="6"/>
  <c r="J28" i="6"/>
  <c r="J22" i="6"/>
  <c r="J23" i="6"/>
  <c r="J25" i="6"/>
  <c r="J29" i="6"/>
  <c r="J30" i="6"/>
  <c r="J32" i="6"/>
  <c r="J31" i="6"/>
  <c r="F7" i="6"/>
  <c r="F6" i="6"/>
  <c r="F9" i="6"/>
</calcChain>
</file>

<file path=xl/sharedStrings.xml><?xml version="1.0" encoding="utf-8"?>
<sst xmlns="http://schemas.openxmlformats.org/spreadsheetml/2006/main" count="385" uniqueCount="187">
  <si>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</si>
  <si>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</si>
  <si>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</si>
  <si>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</si>
  <si>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</si>
  <si>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</si>
  <si>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</si>
  <si>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</si>
  <si>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</si>
  <si>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</si>
  <si>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</si>
  <si>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</si>
  <si>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</si>
  <si>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Engine-1</t>
  </si>
  <si>
    <t>Engine-1 kWh Produced</t>
  </si>
  <si>
    <t>Engine-2 Fuel Consumed [Nm3]</t>
  </si>
  <si>
    <t>Engine-2 kWh Produced</t>
  </si>
  <si>
    <t>Grid Electricity (kWh)</t>
  </si>
  <si>
    <t>Coal Consumed [Kg]</t>
  </si>
  <si>
    <t>Compressor 1, 160 kW, VFD</t>
  </si>
  <si>
    <t>Electricity [kWh]</t>
  </si>
  <si>
    <t>Air Delivery [m³]</t>
  </si>
  <si>
    <t>Dyeing</t>
  </si>
  <si>
    <t>Finishing</t>
  </si>
  <si>
    <t>HVAC</t>
  </si>
  <si>
    <t>Water Softening</t>
  </si>
  <si>
    <t>ETP</t>
  </si>
  <si>
    <t>Power house</t>
  </si>
  <si>
    <t>Ball warping</t>
  </si>
  <si>
    <t>Weaving</t>
  </si>
  <si>
    <t>Compressor 2, 160 kW, VFD, dedicated for weaving</t>
  </si>
  <si>
    <t>Water softening cost = 11 USD-Cents/m3</t>
  </si>
  <si>
    <t>Wastewater treatment cost = 16 USD-Cents/m3</t>
  </si>
  <si>
    <t>Meter</t>
  </si>
  <si>
    <t>Monitored Resources</t>
  </si>
  <si>
    <t>Location</t>
  </si>
  <si>
    <t>Data Logging</t>
  </si>
  <si>
    <t>Utility Meter</t>
  </si>
  <si>
    <t>Natural Gas</t>
  </si>
  <si>
    <t>Main supply</t>
  </si>
  <si>
    <t>Manual</t>
  </si>
  <si>
    <t>Flow Meter</t>
  </si>
  <si>
    <t>Engine 1</t>
  </si>
  <si>
    <t>Automated</t>
  </si>
  <si>
    <t>Engine 2</t>
  </si>
  <si>
    <t>Engine 3</t>
  </si>
  <si>
    <t>Water</t>
  </si>
  <si>
    <t>Well pump 1</t>
  </si>
  <si>
    <t>Softening Plant</t>
  </si>
  <si>
    <t>Wastewater</t>
  </si>
  <si>
    <t xml:space="preserve">ETP </t>
  </si>
  <si>
    <t>Steam</t>
  </si>
  <si>
    <t>Boilers</t>
  </si>
  <si>
    <t>Electricity</t>
  </si>
  <si>
    <t>Power Analyzer</t>
  </si>
  <si>
    <t>Ball Warping</t>
  </si>
  <si>
    <t>Compressor room</t>
  </si>
  <si>
    <t>Compressor 3, 160 kW </t>
  </si>
  <si>
    <t>Ground water (m3 )</t>
  </si>
  <si>
    <t>Municipal Water (m3)</t>
  </si>
  <si>
    <t>Total</t>
  </si>
  <si>
    <t>Engine-1 Fuel Consumed [Nm3]</t>
  </si>
  <si>
    <t>Boiler-1 Coal Consumed [Kg]</t>
  </si>
  <si>
    <t>Boiler-2 Coal Consumed [Kg]</t>
  </si>
  <si>
    <t>Boiler-1 Steam produced [Ton]</t>
  </si>
  <si>
    <t>Boiler-2 Steam produced [Ton]</t>
  </si>
  <si>
    <t>Coal Price</t>
  </si>
  <si>
    <t>USD/Ton</t>
  </si>
  <si>
    <t>kCal/kg</t>
  </si>
  <si>
    <t>Coal GCV</t>
  </si>
  <si>
    <t>NG GCV</t>
  </si>
  <si>
    <t>NG Cost</t>
  </si>
  <si>
    <t>Grid price</t>
  </si>
  <si>
    <t>USD/kWh</t>
  </si>
  <si>
    <t>USD/m3</t>
  </si>
  <si>
    <t>m3</t>
  </si>
  <si>
    <t>After the walkthrough, you requested The Textile Company to provide data of energy sources and energy consumers for one year. The sustainability manager has provided following data. Your tasks as a groups are;</t>
  </si>
  <si>
    <t>Energy Data</t>
  </si>
  <si>
    <t>Energy Price</t>
  </si>
  <si>
    <t>MMBtu/m3</t>
  </si>
  <si>
    <t>Units</t>
  </si>
  <si>
    <t>kWh</t>
  </si>
  <si>
    <t>Energy Use (GJ/y)</t>
  </si>
  <si>
    <t>Energy Source</t>
  </si>
  <si>
    <t>Energy Sources</t>
  </si>
  <si>
    <t>Energy Users</t>
  </si>
  <si>
    <t>Quantity</t>
  </si>
  <si>
    <t>% Total Energy Use</t>
  </si>
  <si>
    <t>Comments</t>
  </si>
  <si>
    <t>Energy Source-1</t>
  </si>
  <si>
    <t>Energy Source-2</t>
  </si>
  <si>
    <t>Main header</t>
  </si>
  <si>
    <t>Dyeing header</t>
  </si>
  <si>
    <t>Finishing header</t>
  </si>
  <si>
    <t>Compressed Air</t>
  </si>
  <si>
    <t>Relevant Variables</t>
  </si>
  <si>
    <t>Further Considerations</t>
  </si>
  <si>
    <t>Relative Humidity</t>
  </si>
  <si>
    <t>GJ/y</t>
  </si>
  <si>
    <t>Significant Energy Uses (SEUs)</t>
  </si>
  <si>
    <t>Energy User</t>
  </si>
  <si>
    <t>Update Material/Energy Flow Charts with energy values</t>
  </si>
  <si>
    <t>Present your results in plenary</t>
  </si>
  <si>
    <t>Develop an energy balance of The Textile Company using provided energy data</t>
  </si>
  <si>
    <t>Is any data missing or incorrect?</t>
  </si>
  <si>
    <t>Calculate Energy Baseline values</t>
  </si>
  <si>
    <t>Enlist significant variables for SEUs</t>
  </si>
  <si>
    <t>Grid Electricity</t>
  </si>
  <si>
    <t>kg</t>
  </si>
  <si>
    <t>Rope Dyeing</t>
  </si>
  <si>
    <t>Sizing</t>
  </si>
  <si>
    <t>Water pumps</t>
  </si>
  <si>
    <t>Compressors</t>
  </si>
  <si>
    <t>~10% of total</t>
  </si>
  <si>
    <t>hrs/d</t>
  </si>
  <si>
    <t>Operating days</t>
  </si>
  <si>
    <t>days/y</t>
  </si>
  <si>
    <t>Operating hours</t>
  </si>
  <si>
    <t>Operational data</t>
  </si>
  <si>
    <t>Total Electricity</t>
  </si>
  <si>
    <t>Natural Gas for electricity</t>
  </si>
  <si>
    <t>Production [kg]</t>
  </si>
  <si>
    <t>Singeing</t>
  </si>
  <si>
    <t>Rope Dyeing Steam</t>
  </si>
  <si>
    <t>Mercerizing Steam</t>
  </si>
  <si>
    <t>GJ/Ton</t>
  </si>
  <si>
    <t>Stenter</t>
  </si>
  <si>
    <t>Re-beaming</t>
  </si>
  <si>
    <t>De-sizing</t>
  </si>
  <si>
    <t>Load factor</t>
  </si>
  <si>
    <t>kWh/y</t>
  </si>
  <si>
    <t>No. of equipment</t>
  </si>
  <si>
    <t>Merceriser</t>
  </si>
  <si>
    <t>Natural Gas for heating (Singeing)</t>
  </si>
  <si>
    <t>Ton/y</t>
  </si>
  <si>
    <t>Note: 10% of total electricity is consumed by the power house itself</t>
  </si>
  <si>
    <t>List of meters</t>
  </si>
  <si>
    <t>01 Coal fired Thermal Oil Heater 2.5 mkCal</t>
  </si>
  <si>
    <t>Packing department</t>
  </si>
  <si>
    <t>Water softening</t>
  </si>
  <si>
    <t>Production</t>
  </si>
  <si>
    <t>Electrical power is internally generated using 02 engines 2MW  each, Natural Gas Fired</t>
  </si>
  <si>
    <t>Steam generated by 02 coal fired boilers 10TPH, 8 bar each</t>
  </si>
  <si>
    <t>03 centrifugal compressors usually two are operational</t>
  </si>
  <si>
    <t>Two Deep Well Water Pumps (each 1 cusec, 30 kW, 100 m total head; Only 1 pump is operational @90% load factor)</t>
  </si>
  <si>
    <t>Electric load [kW]</t>
  </si>
  <si>
    <t>Steam load [TPH]</t>
  </si>
  <si>
    <t>Size</t>
  </si>
  <si>
    <t>kW</t>
  </si>
  <si>
    <t>Unit</t>
  </si>
  <si>
    <t>Coal for Boilers</t>
  </si>
  <si>
    <t>0.0000042 GJ/kCal</t>
  </si>
  <si>
    <t>Steam Misc.</t>
  </si>
  <si>
    <t>Total Coal for boilers</t>
  </si>
  <si>
    <t>Coal for Oil Heater</t>
  </si>
  <si>
    <t>SEU Criterion</t>
  </si>
  <si>
    <t>Sub-Total steam</t>
  </si>
  <si>
    <t>Residue coal energy (inefficiency)</t>
  </si>
  <si>
    <t>Energy Baseline</t>
  </si>
  <si>
    <t>MJ/kg</t>
  </si>
  <si>
    <t>SEU</t>
  </si>
  <si>
    <t>Weaving Electricity</t>
  </si>
  <si>
    <t>TPH</t>
  </si>
  <si>
    <t>1. Energy Sources accounting for more than 10% of total energy
2. Energy uses accounting for more than 5% of respective energy source</t>
  </si>
  <si>
    <t>Rope Dyeing Electricity</t>
  </si>
  <si>
    <t>Sizing Electricity</t>
  </si>
  <si>
    <t>Stenter Electricity</t>
  </si>
  <si>
    <t>Compressors Electricity</t>
  </si>
  <si>
    <t>Power House Electricity</t>
  </si>
  <si>
    <t>Engine load factor, NG GCV</t>
  </si>
  <si>
    <t>Ambient Temp., Coal GCV</t>
  </si>
  <si>
    <t>Color shade</t>
  </si>
  <si>
    <t>Ambient Temp., Fabric Moisture Requirement</t>
  </si>
  <si>
    <t>Ambient Temp., Relative Humidity</t>
  </si>
  <si>
    <t>Individual loads to be identified</t>
  </si>
  <si>
    <t>Misc. electrical loads</t>
  </si>
  <si>
    <t>% electricity</t>
  </si>
  <si>
    <t>% steam</t>
  </si>
  <si>
    <t>Rated Load factors of other machinery and equipment</t>
  </si>
  <si>
    <t>HO 130005b - THE TEXTILE COMPANY – ENERGY BASELINE - SOLUTION</t>
  </si>
  <si>
    <t>Steam Enthalpy</t>
  </si>
  <si>
    <t>Sizing Steam</t>
  </si>
  <si>
    <t>De-sizing Steam</t>
  </si>
  <si>
    <t>Waste heat recovery</t>
  </si>
  <si>
    <t>Waste heat recovery, efficiency improvement</t>
  </si>
  <si>
    <t>Identify Significant Energy Uses (SEUs)</t>
  </si>
  <si>
    <t>no data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</si>
</sst>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_-* #,##0.000_-;\-* #,##0.000_-;_-* &quot;-&quot;??_-;_-@_-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/>
    <xf numFmtId="0" fontId="9" fillId="0" borderId="4" xfId="0" applyFont="1" applyBorder="1"/>
    <xf numFmtId="0" fontId="8" fillId="0" borderId="4" xfId="0" applyFont="1" applyBorder="1"/>
    <xf numFmtId="3" fontId="8" fillId="0" borderId="4" xfId="0" applyNumberFormat="1" applyFont="1" applyBorder="1"/>
    <xf numFmtId="3" fontId="9" fillId="0" borderId="4" xfId="0" applyNumberFormat="1" applyFont="1" applyBorder="1"/>
    <xf numFmtId="0" fontId="9" fillId="0" borderId="0" xfId="0" applyFont="1"/>
    <xf numFmtId="0" fontId="8" fillId="0" borderId="0" xfId="0" applyFont="1" applyBorder="1"/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wrapText="1"/>
    </xf>
    <xf numFmtId="4" fontId="8" fillId="0" borderId="4" xfId="0" applyNumberFormat="1" applyFont="1" applyBorder="1"/>
    <xf numFmtId="0" fontId="8" fillId="0" borderId="4" xfId="0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0" fontId="10" fillId="0" borderId="0" xfId="0" applyFont="1"/>
    <xf numFmtId="0" fontId="2" fillId="0" borderId="1" xfId="3"/>
    <xf numFmtId="0" fontId="3" fillId="0" borderId="0" xfId="5"/>
    <xf numFmtId="3" fontId="8" fillId="0" borderId="0" xfId="0" applyNumberFormat="1" applyFont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/>
    <xf numFmtId="0" fontId="8" fillId="0" borderId="3" xfId="0" applyFont="1" applyBorder="1"/>
    <xf numFmtId="0" fontId="9" fillId="0" borderId="3" xfId="0" applyFont="1" applyFill="1" applyBorder="1"/>
    <xf numFmtId="0" fontId="7" fillId="0" borderId="3" xfId="0" applyFont="1" applyBorder="1"/>
    <xf numFmtId="0" fontId="6" fillId="0" borderId="3" xfId="0" applyFont="1" applyFill="1" applyBorder="1" applyAlignment="1">
      <alignment vertical="center"/>
    </xf>
    <xf numFmtId="0" fontId="0" fillId="0" borderId="3" xfId="0" applyBorder="1"/>
    <xf numFmtId="0" fontId="6" fillId="0" borderId="3" xfId="0" applyFont="1" applyBorder="1"/>
    <xf numFmtId="0" fontId="0" fillId="0" borderId="3" xfId="0" applyBorder="1" applyAlignment="1">
      <alignment wrapText="1"/>
    </xf>
    <xf numFmtId="3" fontId="0" fillId="0" borderId="3" xfId="0" applyNumberFormat="1" applyBorder="1"/>
    <xf numFmtId="164" fontId="0" fillId="0" borderId="3" xfId="2" applyNumberFormat="1" applyFont="1" applyBorder="1"/>
    <xf numFmtId="166" fontId="6" fillId="0" borderId="3" xfId="1" applyNumberFormat="1" applyFont="1" applyBorder="1"/>
    <xf numFmtId="9" fontId="0" fillId="0" borderId="3" xfId="2" applyFont="1" applyBorder="1"/>
    <xf numFmtId="43" fontId="0" fillId="0" borderId="3" xfId="1" applyFont="1" applyBorder="1"/>
    <xf numFmtId="165" fontId="0" fillId="0" borderId="3" xfId="0" applyNumberFormat="1" applyBorder="1"/>
    <xf numFmtId="166" fontId="0" fillId="0" borderId="3" xfId="1" applyNumberFormat="1" applyFont="1" applyBorder="1"/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2" fillId="0" borderId="0" xfId="3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1" xfId="3" applyAlignment="1">
      <alignment wrapText="1"/>
    </xf>
    <xf numFmtId="0" fontId="6" fillId="0" borderId="3" xfId="0" applyFont="1" applyBorder="1" applyAlignment="1">
      <alignment wrapText="1"/>
    </xf>
    <xf numFmtId="0" fontId="3" fillId="0" borderId="2" xfId="4" applyAlignment="1">
      <alignment wrapText="1"/>
    </xf>
    <xf numFmtId="3" fontId="9" fillId="0" borderId="0" xfId="0" applyNumberFormat="1" applyFont="1" applyBorder="1"/>
    <xf numFmtId="0" fontId="9" fillId="0" borderId="0" xfId="0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166" fontId="0" fillId="0" borderId="3" xfId="1" applyNumberFormat="1" applyFont="1" applyBorder="1" applyAlignment="1">
      <alignment wrapText="1"/>
    </xf>
    <xf numFmtId="166" fontId="6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6" fontId="0" fillId="0" borderId="3" xfId="1" applyNumberFormat="1" applyFont="1" applyFill="1" applyBorder="1" applyAlignment="1">
      <alignment wrapText="1"/>
    </xf>
    <xf numFmtId="166" fontId="6" fillId="0" borderId="3" xfId="1" applyNumberFormat="1" applyFont="1" applyFill="1" applyBorder="1" applyAlignment="1">
      <alignment wrapText="1"/>
    </xf>
    <xf numFmtId="167" fontId="0" fillId="0" borderId="3" xfId="0" applyNumberFormat="1" applyBorder="1"/>
    <xf numFmtId="166" fontId="0" fillId="0" borderId="3" xfId="0" applyNumberFormat="1" applyBorder="1"/>
    <xf numFmtId="0" fontId="0" fillId="0" borderId="3" xfId="0" quotePrefix="1" applyBorder="1" applyAlignment="1">
      <alignment wrapText="1"/>
    </xf>
    <xf numFmtId="3" fontId="5" fillId="2" borderId="3" xfId="0" applyNumberFormat="1" applyFont="1" applyFill="1" applyBorder="1" applyAlignment="1">
      <alignment vertical="center"/>
    </xf>
    <xf numFmtId="164" fontId="0" fillId="2" borderId="3" xfId="2" applyNumberFormat="1" applyFont="1" applyFill="1" applyBorder="1"/>
    <xf numFmtId="166" fontId="0" fillId="2" borderId="3" xfId="1" applyNumberFormat="1" applyFont="1" applyFill="1" applyBorder="1" applyAlignment="1">
      <alignment wrapText="1"/>
    </xf>
    <xf numFmtId="3" fontId="0" fillId="2" borderId="3" xfId="0" applyNumberFormat="1" applyFill="1" applyBorder="1"/>
    <xf numFmtId="0" fontId="0" fillId="2" borderId="3" xfId="0" applyFill="1" applyBorder="1" applyAlignment="1">
      <alignment wrapText="1"/>
    </xf>
    <xf numFmtId="0" fontId="0" fillId="2" borderId="3" xfId="0" applyFill="1" applyBorder="1"/>
    <xf numFmtId="4" fontId="8" fillId="0" borderId="0" xfId="0" applyNumberFormat="1" applyFont="1"/>
    <xf numFmtId="0" fontId="4" fillId="0" borderId="0" xfId="0" applyFont="1" applyAlignment="1">
      <alignment horizontal="left" vertical="center" wrapText="1"/>
    </xf>
    <xf numFmtId="0" fontId="3" fillId="0" borderId="0" xfId="5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6">
    <cellStyle name="Comma" xfId="1" builtinId="3"/>
    <cellStyle name="Heading 2" xfId="3" builtinId="17"/>
    <cellStyle name="Heading 3" xfId="4" builtinId="18"/>
    <cellStyle name="Heading 4" xfId="5" builtinId="19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view="pageLayout" zoomScaleNormal="100" workbookViewId="0">
      <selection activeCell="C1" sqref="C1"/>
    </sheetView>
  </sheetViews>
  <sheetFormatPr defaultColWidth="8.83984375" defaultRowHeight="12.9" zeroHeight="1" x14ac:dyDescent="0.5"/>
  <cols>
    <col min="1" max="1" width="2.5234375" style="6" customWidth="1"/>
    <col min="2" max="2" width="13.1015625" style="6" customWidth="1"/>
    <col min="3" max="3" width="12.3671875" style="6" customWidth="1"/>
    <col min="4" max="9" width="11.5234375" style="6" customWidth="1"/>
    <col min="10" max="14" width="12.68359375" style="6" customWidth="1"/>
    <col min="15" max="16384" width="8.83984375" style="6"/>
  </cols>
  <sheetData>
    <row r="1" spans="1:9" ht="17.399999999999999" x14ac:dyDescent="0.55000000000000004">
      <c r="B1" s="19" t="s">
        <v>179</v>
      </c>
    </row>
    <row r="2" spans="1:9" x14ac:dyDescent="0.5"/>
    <row r="3" spans="1:9" ht="32.4" customHeight="1" x14ac:dyDescent="0.5">
      <c r="B3" s="68" t="s">
        <v>76</v>
      </c>
      <c r="C3" s="68"/>
      <c r="D3" s="68"/>
      <c r="E3" s="68"/>
      <c r="F3" s="68"/>
      <c r="G3" s="68"/>
      <c r="H3" s="68"/>
      <c r="I3" s="68"/>
    </row>
    <row r="4" spans="1:9" ht="14.7" customHeight="1" x14ac:dyDescent="0.5">
      <c r="A4" s="13">
        <v>1</v>
      </c>
      <c r="B4" s="68" t="s">
        <v>103</v>
      </c>
      <c r="C4" s="68"/>
      <c r="D4" s="68"/>
      <c r="E4" s="68"/>
      <c r="F4" s="68"/>
      <c r="G4" s="68"/>
      <c r="H4" s="68"/>
      <c r="I4" s="68"/>
    </row>
    <row r="5" spans="1:9" ht="14.7" customHeight="1" x14ac:dyDescent="0.5">
      <c r="A5" s="13">
        <v>2</v>
      </c>
      <c r="B5" s="68" t="s">
        <v>101</v>
      </c>
      <c r="C5" s="68"/>
      <c r="D5" s="68"/>
      <c r="E5" s="68"/>
      <c r="F5" s="68"/>
      <c r="G5" s="68"/>
      <c r="H5" s="68"/>
      <c r="I5" s="68"/>
    </row>
    <row r="6" spans="1:9" ht="14.7" customHeight="1" x14ac:dyDescent="0.5">
      <c r="A6" s="13">
        <v>3</v>
      </c>
      <c r="B6" s="68" t="s">
        <v>104</v>
      </c>
      <c r="C6" s="68"/>
      <c r="D6" s="68"/>
      <c r="E6" s="68"/>
      <c r="F6" s="68"/>
      <c r="G6" s="68"/>
      <c r="H6" s="68"/>
      <c r="I6" s="68"/>
    </row>
    <row r="7" spans="1:9" ht="14.7" customHeight="1" x14ac:dyDescent="0.5">
      <c r="A7" s="13">
        <v>4</v>
      </c>
      <c r="B7" s="68" t="s">
        <v>185</v>
      </c>
      <c r="C7" s="68"/>
      <c r="D7" s="68"/>
      <c r="E7" s="68"/>
      <c r="F7" s="68"/>
      <c r="G7" s="68"/>
      <c r="H7" s="68"/>
      <c r="I7" s="68"/>
    </row>
    <row r="8" spans="1:9" ht="14.7" customHeight="1" x14ac:dyDescent="0.5">
      <c r="A8" s="13">
        <v>5</v>
      </c>
      <c r="B8" s="68" t="s">
        <v>105</v>
      </c>
      <c r="C8" s="68"/>
      <c r="D8" s="68"/>
      <c r="E8" s="68"/>
      <c r="F8" s="68"/>
      <c r="G8" s="68"/>
      <c r="H8" s="68"/>
      <c r="I8" s="68"/>
    </row>
    <row r="9" spans="1:9" ht="14.7" customHeight="1" x14ac:dyDescent="0.5">
      <c r="A9" s="13">
        <v>6</v>
      </c>
      <c r="B9" s="68" t="s">
        <v>106</v>
      </c>
      <c r="C9" s="68"/>
      <c r="D9" s="68"/>
      <c r="E9" s="68"/>
      <c r="F9" s="68"/>
      <c r="G9" s="68"/>
      <c r="H9" s="68"/>
      <c r="I9" s="68"/>
    </row>
    <row r="10" spans="1:9" ht="14.7" customHeight="1" x14ac:dyDescent="0.5">
      <c r="A10" s="13">
        <v>7</v>
      </c>
      <c r="B10" s="68" t="s">
        <v>102</v>
      </c>
      <c r="C10" s="68"/>
      <c r="D10" s="68"/>
      <c r="E10" s="68"/>
      <c r="F10" s="68"/>
      <c r="G10" s="68"/>
      <c r="H10" s="68"/>
      <c r="I10" s="68"/>
    </row>
    <row r="11" spans="1:9" x14ac:dyDescent="0.5"/>
    <row r="12" spans="1:9" ht="17.100000000000001" thickBot="1" x14ac:dyDescent="0.7">
      <c r="B12" s="20" t="s">
        <v>77</v>
      </c>
    </row>
    <row r="13" spans="1:9" ht="13.2" thickTop="1" x14ac:dyDescent="0.5"/>
    <row r="14" spans="1:9" ht="14.4" x14ac:dyDescent="0.55000000000000004">
      <c r="B14" s="21" t="s">
        <v>140</v>
      </c>
    </row>
    <row r="15" spans="1:9" x14ac:dyDescent="0.5">
      <c r="B15" s="3"/>
    </row>
    <row r="16" spans="1:9" x14ac:dyDescent="0.5">
      <c r="B16" s="7" t="s">
        <v>0</v>
      </c>
      <c r="C16" s="14" t="s">
        <v>121</v>
      </c>
    </row>
    <row r="17" spans="2:5" x14ac:dyDescent="0.5">
      <c r="B17" s="8" t="s">
        <v>1</v>
      </c>
      <c r="C17" s="9">
        <v>312470</v>
      </c>
    </row>
    <row r="18" spans="2:5" x14ac:dyDescent="0.5">
      <c r="B18" s="8" t="s">
        <v>2</v>
      </c>
      <c r="C18" s="9">
        <v>203702.66666666666</v>
      </c>
    </row>
    <row r="19" spans="2:5" x14ac:dyDescent="0.5">
      <c r="B19" s="8" t="s">
        <v>3</v>
      </c>
      <c r="C19" s="9">
        <v>133091.66666666666</v>
      </c>
    </row>
    <row r="20" spans="2:5" x14ac:dyDescent="0.5">
      <c r="B20" s="8" t="s">
        <v>4</v>
      </c>
      <c r="C20" s="9">
        <v>133151</v>
      </c>
    </row>
    <row r="21" spans="2:5" x14ac:dyDescent="0.5">
      <c r="B21" s="8" t="s">
        <v>5</v>
      </c>
      <c r="C21" s="9">
        <v>161331.66666666666</v>
      </c>
    </row>
    <row r="22" spans="2:5" x14ac:dyDescent="0.5">
      <c r="B22" s="8" t="s">
        <v>6</v>
      </c>
      <c r="C22" s="9">
        <v>268345.66666666669</v>
      </c>
    </row>
    <row r="23" spans="2:5" x14ac:dyDescent="0.5">
      <c r="B23" s="8" t="s">
        <v>7</v>
      </c>
      <c r="C23" s="9">
        <v>278735.33333333331</v>
      </c>
    </row>
    <row r="24" spans="2:5" x14ac:dyDescent="0.5">
      <c r="B24" s="8" t="s">
        <v>8</v>
      </c>
      <c r="C24" s="9">
        <v>302438.66666666669</v>
      </c>
    </row>
    <row r="25" spans="2:5" x14ac:dyDescent="0.5">
      <c r="B25" s="8" t="s">
        <v>9</v>
      </c>
      <c r="C25" s="9">
        <v>281236</v>
      </c>
    </row>
    <row r="26" spans="2:5" x14ac:dyDescent="0.5">
      <c r="B26" s="8" t="s">
        <v>10</v>
      </c>
      <c r="C26" s="9">
        <v>301496.33333333331</v>
      </c>
    </row>
    <row r="27" spans="2:5" x14ac:dyDescent="0.5">
      <c r="B27" s="8" t="s">
        <v>11</v>
      </c>
      <c r="C27" s="9">
        <v>382275.33333333331</v>
      </c>
    </row>
    <row r="28" spans="2:5" x14ac:dyDescent="0.5">
      <c r="B28" s="8" t="s">
        <v>12</v>
      </c>
      <c r="C28" s="9">
        <v>354639</v>
      </c>
    </row>
    <row r="29" spans="2:5" x14ac:dyDescent="0.5">
      <c r="B29" s="7" t="s">
        <v>60</v>
      </c>
      <c r="C29" s="10">
        <f>SUM(C17:C28)</f>
        <v>3112913.3333333335</v>
      </c>
      <c r="D29" s="48"/>
    </row>
    <row r="30" spans="2:5" ht="13.2" thickBot="1" x14ac:dyDescent="0.55000000000000004"/>
    <row r="31" spans="2:5" ht="13.2" thickBot="1" x14ac:dyDescent="0.55000000000000004">
      <c r="B31" s="28" t="s">
        <v>118</v>
      </c>
    </row>
    <row r="32" spans="2:5" ht="13.2" thickBot="1" x14ac:dyDescent="0.55000000000000004">
      <c r="B32" s="26" t="s">
        <v>117</v>
      </c>
      <c r="C32" s="26">
        <v>24</v>
      </c>
      <c r="D32" s="26" t="s">
        <v>114</v>
      </c>
      <c r="E32" s="12"/>
    </row>
    <row r="33" spans="2:7" ht="13.2" thickBot="1" x14ac:dyDescent="0.55000000000000004">
      <c r="B33" s="26" t="s">
        <v>115</v>
      </c>
      <c r="C33" s="26">
        <v>330</v>
      </c>
      <c r="D33" s="26" t="s">
        <v>116</v>
      </c>
      <c r="E33" s="12"/>
    </row>
    <row r="34" spans="2:7" x14ac:dyDescent="0.5">
      <c r="B34" s="12"/>
      <c r="C34" s="12"/>
      <c r="D34" s="12"/>
      <c r="E34" s="12"/>
    </row>
    <row r="35" spans="2:7" ht="13.2" thickBot="1" x14ac:dyDescent="0.55000000000000004">
      <c r="B35" s="11"/>
    </row>
    <row r="36" spans="2:7" ht="13.2" thickBot="1" x14ac:dyDescent="0.55000000000000004">
      <c r="B36" s="25" t="s">
        <v>78</v>
      </c>
    </row>
    <row r="37" spans="2:7" ht="13.2" thickBot="1" x14ac:dyDescent="0.55000000000000004">
      <c r="B37" s="25" t="s">
        <v>70</v>
      </c>
      <c r="C37" s="26">
        <v>3.5000000000000003E-2</v>
      </c>
      <c r="D37" s="26" t="s">
        <v>79</v>
      </c>
      <c r="E37" s="12"/>
    </row>
    <row r="38" spans="2:7" ht="13.2" thickBot="1" x14ac:dyDescent="0.55000000000000004">
      <c r="B38" s="25" t="s">
        <v>71</v>
      </c>
      <c r="C38" s="26">
        <v>0.23</v>
      </c>
      <c r="D38" s="26" t="s">
        <v>74</v>
      </c>
      <c r="E38" s="12"/>
    </row>
    <row r="39" spans="2:7" ht="13.2" thickBot="1" x14ac:dyDescent="0.55000000000000004">
      <c r="B39" s="25" t="s">
        <v>72</v>
      </c>
      <c r="C39" s="26">
        <v>0.08</v>
      </c>
      <c r="D39" s="26" t="s">
        <v>73</v>
      </c>
      <c r="E39" s="12"/>
    </row>
    <row r="40" spans="2:7" ht="13.2" thickBot="1" x14ac:dyDescent="0.55000000000000004">
      <c r="B40" s="25" t="s">
        <v>69</v>
      </c>
      <c r="C40" s="26">
        <v>6000</v>
      </c>
      <c r="D40" s="26" t="s">
        <v>68</v>
      </c>
      <c r="E40" s="12"/>
    </row>
    <row r="41" spans="2:7" ht="13.2" thickBot="1" x14ac:dyDescent="0.55000000000000004">
      <c r="B41" s="27" t="s">
        <v>66</v>
      </c>
      <c r="C41" s="26">
        <v>205</v>
      </c>
      <c r="D41" s="26" t="s">
        <v>67</v>
      </c>
      <c r="E41" s="12"/>
    </row>
    <row r="42" spans="2:7" ht="13.2" thickBot="1" x14ac:dyDescent="0.55000000000000004">
      <c r="B42" s="27" t="s">
        <v>180</v>
      </c>
      <c r="C42" s="26">
        <f>2755.46*1000*0.000001</f>
        <v>2.7554599999999998</v>
      </c>
      <c r="D42" s="26" t="s">
        <v>125</v>
      </c>
      <c r="E42" s="12"/>
    </row>
    <row r="43" spans="2:7" x14ac:dyDescent="0.5">
      <c r="B43" s="13"/>
    </row>
    <row r="44" spans="2:7" ht="14.4" x14ac:dyDescent="0.55000000000000004">
      <c r="B44" s="21" t="s">
        <v>141</v>
      </c>
    </row>
    <row r="45" spans="2:7" x14ac:dyDescent="0.5"/>
    <row r="46" spans="2:7" ht="38.700000000000003" x14ac:dyDescent="0.5">
      <c r="B46" s="14" t="s">
        <v>0</v>
      </c>
      <c r="C46" s="14" t="s">
        <v>61</v>
      </c>
      <c r="D46" s="14" t="s">
        <v>14</v>
      </c>
      <c r="E46" s="14" t="s">
        <v>15</v>
      </c>
      <c r="F46" s="14" t="s">
        <v>16</v>
      </c>
      <c r="G46" s="14" t="s">
        <v>17</v>
      </c>
    </row>
    <row r="47" spans="2:7" x14ac:dyDescent="0.5">
      <c r="B47" s="8" t="s">
        <v>1</v>
      </c>
      <c r="C47" s="9">
        <v>175336.80000000002</v>
      </c>
      <c r="D47" s="9">
        <v>622160</v>
      </c>
      <c r="E47" s="9">
        <v>152078.5</v>
      </c>
      <c r="F47" s="9">
        <v>539630</v>
      </c>
      <c r="G47" s="9">
        <v>115982.3</v>
      </c>
    </row>
    <row r="48" spans="2:7" x14ac:dyDescent="0.5">
      <c r="B48" s="8" t="s">
        <v>2</v>
      </c>
      <c r="C48" s="9">
        <v>134780</v>
      </c>
      <c r="D48" s="9">
        <v>472960</v>
      </c>
      <c r="E48" s="9">
        <v>116376.4</v>
      </c>
      <c r="F48" s="9">
        <v>408380</v>
      </c>
      <c r="G48" s="9">
        <v>98904.7</v>
      </c>
    </row>
    <row r="49" spans="2:8" x14ac:dyDescent="0.5">
      <c r="B49" s="8" t="s">
        <v>3</v>
      </c>
      <c r="C49" s="9">
        <v>145370.4</v>
      </c>
      <c r="D49" s="9">
        <v>504080</v>
      </c>
      <c r="E49" s="9">
        <v>115793.29999999999</v>
      </c>
      <c r="F49" s="9">
        <v>401520</v>
      </c>
      <c r="G49" s="9">
        <v>86118.8</v>
      </c>
    </row>
    <row r="50" spans="2:8" x14ac:dyDescent="0.5">
      <c r="B50" s="8" t="s">
        <v>4</v>
      </c>
      <c r="C50" s="9">
        <v>102738.40000000001</v>
      </c>
      <c r="D50" s="9">
        <v>362880</v>
      </c>
      <c r="E50" s="8">
        <v>0</v>
      </c>
      <c r="F50" s="8">
        <v>0</v>
      </c>
      <c r="G50" s="9">
        <v>68530.600000000006</v>
      </c>
    </row>
    <row r="51" spans="2:8" x14ac:dyDescent="0.5">
      <c r="B51" s="8" t="s">
        <v>5</v>
      </c>
      <c r="C51" s="9">
        <v>119899.20000000001</v>
      </c>
      <c r="D51" s="9">
        <v>426400</v>
      </c>
      <c r="E51" s="9">
        <v>139731.9</v>
      </c>
      <c r="F51" s="9">
        <v>496929.99999999994</v>
      </c>
      <c r="G51" s="9">
        <v>79137.399999999994</v>
      </c>
    </row>
    <row r="52" spans="2:8" x14ac:dyDescent="0.5">
      <c r="B52" s="8" t="s">
        <v>6</v>
      </c>
      <c r="C52" s="9">
        <v>191040</v>
      </c>
      <c r="D52" s="9">
        <v>680720</v>
      </c>
      <c r="E52" s="9">
        <v>166982.9</v>
      </c>
      <c r="F52" s="9">
        <v>595000</v>
      </c>
      <c r="G52" s="9">
        <v>108896.6</v>
      </c>
    </row>
    <row r="53" spans="2:8" x14ac:dyDescent="0.5">
      <c r="B53" s="8" t="s">
        <v>7</v>
      </c>
      <c r="C53" s="9">
        <v>188052</v>
      </c>
      <c r="D53" s="9">
        <v>657920</v>
      </c>
      <c r="E53" s="9">
        <v>165405.79999999999</v>
      </c>
      <c r="F53" s="9">
        <v>578690</v>
      </c>
      <c r="G53" s="9">
        <v>119228.1</v>
      </c>
    </row>
    <row r="54" spans="2:8" x14ac:dyDescent="0.5">
      <c r="B54" s="8" t="s">
        <v>8</v>
      </c>
      <c r="C54" s="9">
        <v>188930.40000000002</v>
      </c>
      <c r="D54" s="9">
        <v>660080</v>
      </c>
      <c r="E54" s="9">
        <v>165113.9</v>
      </c>
      <c r="F54" s="9">
        <v>576870</v>
      </c>
      <c r="G54" s="9">
        <v>113292.4</v>
      </c>
    </row>
    <row r="55" spans="2:8" x14ac:dyDescent="0.5">
      <c r="B55" s="8" t="s">
        <v>9</v>
      </c>
      <c r="C55" s="9">
        <v>204116.80000000002</v>
      </c>
      <c r="D55" s="9">
        <v>707840</v>
      </c>
      <c r="E55" s="9">
        <v>171274.59999999998</v>
      </c>
      <c r="F55" s="9">
        <v>593950</v>
      </c>
      <c r="G55" s="9">
        <v>114316.8</v>
      </c>
    </row>
    <row r="56" spans="2:8" x14ac:dyDescent="0.5">
      <c r="B56" s="8" t="s">
        <v>10</v>
      </c>
      <c r="C56" s="9">
        <v>211102.40000000002</v>
      </c>
      <c r="D56" s="9">
        <v>722960</v>
      </c>
      <c r="E56" s="9">
        <v>183529.5</v>
      </c>
      <c r="F56" s="9">
        <v>628530</v>
      </c>
      <c r="G56" s="9">
        <v>118363.4</v>
      </c>
    </row>
    <row r="57" spans="2:8" x14ac:dyDescent="0.5">
      <c r="B57" s="8" t="s">
        <v>11</v>
      </c>
      <c r="C57" s="9">
        <v>199468.80000000002</v>
      </c>
      <c r="D57" s="9">
        <v>687360</v>
      </c>
      <c r="E57" s="9">
        <v>164236.09999999998</v>
      </c>
      <c r="F57" s="9">
        <v>565950</v>
      </c>
      <c r="G57" s="9">
        <v>115158.9</v>
      </c>
    </row>
    <row r="58" spans="2:8" x14ac:dyDescent="0.5">
      <c r="B58" s="8" t="s">
        <v>12</v>
      </c>
      <c r="C58" s="9">
        <v>217157.6</v>
      </c>
      <c r="D58" s="9">
        <v>751120</v>
      </c>
      <c r="E58" s="9">
        <v>192320.09999999998</v>
      </c>
      <c r="F58" s="9">
        <v>665210</v>
      </c>
      <c r="G58" s="9">
        <v>129344.8</v>
      </c>
    </row>
    <row r="59" spans="2:8" x14ac:dyDescent="0.5">
      <c r="B59" s="7" t="s">
        <v>60</v>
      </c>
      <c r="C59" s="10">
        <f>SUM(C47:C58)</f>
        <v>2077992.8000000005</v>
      </c>
      <c r="D59" s="10">
        <f t="shared" ref="D59" si="0">SUM(D47:D58)</f>
        <v>7256480</v>
      </c>
      <c r="E59" s="10">
        <f>SUM(E47:E58)</f>
        <v>1732843</v>
      </c>
      <c r="F59" s="10">
        <f>SUM(F47:F58)</f>
        <v>6050660</v>
      </c>
      <c r="G59" s="10">
        <f>SUM(G47:G58)</f>
        <v>1267274.8</v>
      </c>
    </row>
    <row r="60" spans="2:8" x14ac:dyDescent="0.5">
      <c r="B60" s="6" t="s">
        <v>135</v>
      </c>
      <c r="H60" s="22"/>
    </row>
    <row r="61" spans="2:8" x14ac:dyDescent="0.5">
      <c r="H61" s="22"/>
    </row>
    <row r="62" spans="2:8" ht="14.4" x14ac:dyDescent="0.55000000000000004">
      <c r="B62" s="21" t="s">
        <v>142</v>
      </c>
    </row>
    <row r="63" spans="2:8" x14ac:dyDescent="0.5"/>
    <row r="64" spans="2:8" ht="38.700000000000003" x14ac:dyDescent="0.5">
      <c r="B64" s="14" t="s">
        <v>0</v>
      </c>
      <c r="C64" s="14" t="s">
        <v>62</v>
      </c>
      <c r="D64" s="14" t="s">
        <v>64</v>
      </c>
      <c r="E64" s="14" t="s">
        <v>63</v>
      </c>
      <c r="F64" s="14" t="s">
        <v>65</v>
      </c>
    </row>
    <row r="65" spans="2:8" x14ac:dyDescent="0.5">
      <c r="B65" s="8" t="s">
        <v>1</v>
      </c>
      <c r="C65" s="9">
        <v>647051.08160000027</v>
      </c>
      <c r="D65" s="9">
        <v>3904.9920000000002</v>
      </c>
      <c r="E65" s="9">
        <v>485288.408</v>
      </c>
      <c r="F65" s="9">
        <v>3068.28</v>
      </c>
      <c r="H65" s="22"/>
    </row>
    <row r="66" spans="2:8" x14ac:dyDescent="0.5">
      <c r="B66" s="8" t="s">
        <v>2</v>
      </c>
      <c r="C66" s="9">
        <v>496981.65440000006</v>
      </c>
      <c r="D66" s="9">
        <v>3019.9679999999998</v>
      </c>
      <c r="E66" s="9">
        <v>372736.62800000014</v>
      </c>
      <c r="F66" s="9">
        <v>2372.7600000000002</v>
      </c>
      <c r="H66" s="22"/>
    </row>
    <row r="67" spans="2:8" x14ac:dyDescent="0.5">
      <c r="B67" s="8" t="s">
        <v>3</v>
      </c>
      <c r="C67" s="9">
        <v>385160.71440000011</v>
      </c>
      <c r="D67" s="9">
        <v>2350.6559999999995</v>
      </c>
      <c r="E67" s="9">
        <v>288870.56000000006</v>
      </c>
      <c r="F67" s="9">
        <v>1846.8</v>
      </c>
      <c r="H67" s="22"/>
    </row>
    <row r="68" spans="2:8" x14ac:dyDescent="0.5">
      <c r="B68" s="8" t="s">
        <v>4</v>
      </c>
      <c r="C68" s="9">
        <v>238703.57280000005</v>
      </c>
      <c r="D68" s="9">
        <v>1450.5120000000002</v>
      </c>
      <c r="E68" s="9">
        <v>179027.72800000006</v>
      </c>
      <c r="F68" s="9">
        <v>1139.4000000000001</v>
      </c>
      <c r="H68" s="22"/>
    </row>
    <row r="69" spans="2:8" x14ac:dyDescent="0.5">
      <c r="B69" s="8" t="s">
        <v>5</v>
      </c>
      <c r="C69" s="9">
        <v>370763.7472000001</v>
      </c>
      <c r="D69" s="9">
        <v>2234.7359999999999</v>
      </c>
      <c r="E69" s="9">
        <v>278073.00400000007</v>
      </c>
      <c r="F69" s="9">
        <v>1755.7200000000003</v>
      </c>
      <c r="H69" s="22"/>
    </row>
    <row r="70" spans="2:8" x14ac:dyDescent="0.5">
      <c r="B70" s="8" t="s">
        <v>6</v>
      </c>
      <c r="C70" s="9">
        <v>580034.40880000021</v>
      </c>
      <c r="D70" s="9">
        <v>3455.9280000000003</v>
      </c>
      <c r="E70" s="9">
        <v>435025.97600000014</v>
      </c>
      <c r="F70" s="9">
        <v>2715.4800000000009</v>
      </c>
      <c r="H70" s="22"/>
    </row>
    <row r="71" spans="2:8" x14ac:dyDescent="0.5">
      <c r="B71" s="8" t="s">
        <v>7</v>
      </c>
      <c r="C71" s="9">
        <v>532897.8424000002</v>
      </c>
      <c r="D71" s="9">
        <v>3134.88</v>
      </c>
      <c r="E71" s="9">
        <v>399673.16400000011</v>
      </c>
      <c r="F71" s="9">
        <v>2462.7600000000002</v>
      </c>
      <c r="H71" s="22"/>
    </row>
    <row r="72" spans="2:8" x14ac:dyDescent="0.5">
      <c r="B72" s="8" t="s">
        <v>8</v>
      </c>
      <c r="C72" s="9">
        <v>653691.56160000002</v>
      </c>
      <c r="D72" s="9">
        <v>3890.3759999999997</v>
      </c>
      <c r="E72" s="9">
        <v>490268.76799999998</v>
      </c>
      <c r="F72" s="9">
        <v>3056.76</v>
      </c>
      <c r="H72" s="22"/>
    </row>
    <row r="73" spans="2:8" x14ac:dyDescent="0.5">
      <c r="B73" s="8" t="s">
        <v>9</v>
      </c>
      <c r="C73" s="9">
        <v>626461.52800000005</v>
      </c>
      <c r="D73" s="9">
        <v>3787.56</v>
      </c>
      <c r="E73" s="9">
        <v>469846.38800000004</v>
      </c>
      <c r="F73" s="9">
        <v>2975.76</v>
      </c>
      <c r="H73" s="22"/>
    </row>
    <row r="74" spans="2:8" x14ac:dyDescent="0.5">
      <c r="B74" s="8" t="s">
        <v>10</v>
      </c>
      <c r="C74" s="9">
        <v>558629.02480000013</v>
      </c>
      <c r="D74" s="9">
        <v>3380.3280000000004</v>
      </c>
      <c r="E74" s="9">
        <v>418971.696</v>
      </c>
      <c r="F74" s="9">
        <v>2655.7200000000003</v>
      </c>
      <c r="H74" s="22"/>
    </row>
    <row r="75" spans="2:8" x14ac:dyDescent="0.5">
      <c r="B75" s="8" t="s">
        <v>11</v>
      </c>
      <c r="C75" s="9">
        <v>670400.5</v>
      </c>
      <c r="D75" s="9">
        <v>4047.6240000000007</v>
      </c>
      <c r="E75" s="9">
        <v>502800.49599999998</v>
      </c>
      <c r="F75" s="9">
        <v>3180.24</v>
      </c>
      <c r="H75" s="22"/>
    </row>
    <row r="76" spans="2:8" x14ac:dyDescent="0.5">
      <c r="B76" s="8" t="s">
        <v>12</v>
      </c>
      <c r="C76" s="9">
        <v>647604.00320000015</v>
      </c>
      <c r="D76" s="9">
        <v>3918.6000000000008</v>
      </c>
      <c r="E76" s="9">
        <v>485702.71200000006</v>
      </c>
      <c r="F76" s="9">
        <v>3078.7200000000003</v>
      </c>
      <c r="H76" s="22"/>
    </row>
    <row r="77" spans="2:8" x14ac:dyDescent="0.5">
      <c r="B77" s="7" t="s">
        <v>60</v>
      </c>
      <c r="C77" s="10">
        <f>SUM(C65:C76)</f>
        <v>6408379.639200002</v>
      </c>
      <c r="D77" s="10">
        <f t="shared" ref="D77" si="1">SUM(D65:D76)</f>
        <v>38576.160000000003</v>
      </c>
      <c r="E77" s="10">
        <f>SUM(E65:E76)</f>
        <v>4806285.5280000009</v>
      </c>
      <c r="F77" s="10">
        <f>SUM(F65:F76)</f>
        <v>30308.400000000009</v>
      </c>
      <c r="H77" s="22"/>
    </row>
    <row r="78" spans="2:8" x14ac:dyDescent="0.5"/>
    <row r="79" spans="2:8" x14ac:dyDescent="0.5"/>
    <row r="80" spans="2:8" ht="14.4" x14ac:dyDescent="0.55000000000000004">
      <c r="B80" s="21" t="s">
        <v>137</v>
      </c>
    </row>
    <row r="81" spans="2:3" ht="25.8" x14ac:dyDescent="0.5">
      <c r="B81" s="14" t="s">
        <v>0</v>
      </c>
      <c r="C81" s="14" t="s">
        <v>18</v>
      </c>
    </row>
    <row r="82" spans="2:3" x14ac:dyDescent="0.5">
      <c r="B82" s="8" t="s">
        <v>1</v>
      </c>
      <c r="C82" s="9">
        <v>74333.333333333328</v>
      </c>
    </row>
    <row r="83" spans="2:3" x14ac:dyDescent="0.5">
      <c r="B83" s="8" t="s">
        <v>2</v>
      </c>
      <c r="C83" s="9">
        <v>49583.333333333336</v>
      </c>
    </row>
    <row r="84" spans="2:3" x14ac:dyDescent="0.5">
      <c r="B84" s="8" t="s">
        <v>3</v>
      </c>
      <c r="C84" s="9">
        <v>55722.333333333336</v>
      </c>
    </row>
    <row r="85" spans="2:3" x14ac:dyDescent="0.5">
      <c r="B85" s="8" t="s">
        <v>4</v>
      </c>
      <c r="C85" s="9">
        <v>31333.333333333332</v>
      </c>
    </row>
    <row r="86" spans="2:3" x14ac:dyDescent="0.5">
      <c r="B86" s="8" t="s">
        <v>5</v>
      </c>
      <c r="C86" s="9">
        <v>54708.333333333336</v>
      </c>
    </row>
    <row r="87" spans="2:3" x14ac:dyDescent="0.5">
      <c r="B87" s="8" t="s">
        <v>6</v>
      </c>
      <c r="C87" s="9">
        <v>67500</v>
      </c>
    </row>
    <row r="88" spans="2:3" x14ac:dyDescent="0.5">
      <c r="B88" s="8" t="s">
        <v>7</v>
      </c>
      <c r="C88" s="9">
        <v>66916.666666666672</v>
      </c>
    </row>
    <row r="89" spans="2:3" x14ac:dyDescent="0.5">
      <c r="B89" s="8" t="s">
        <v>8</v>
      </c>
      <c r="C89" s="9">
        <v>62416.666666666664</v>
      </c>
    </row>
    <row r="90" spans="2:3" x14ac:dyDescent="0.5">
      <c r="B90" s="8" t="s">
        <v>9</v>
      </c>
      <c r="C90" s="9">
        <v>66708.333333333328</v>
      </c>
    </row>
    <row r="91" spans="2:3" x14ac:dyDescent="0.5">
      <c r="B91" s="8" t="s">
        <v>10</v>
      </c>
      <c r="C91" s="9">
        <v>68541.666666666672</v>
      </c>
    </row>
    <row r="92" spans="2:3" x14ac:dyDescent="0.5">
      <c r="B92" s="8" t="s">
        <v>11</v>
      </c>
      <c r="C92" s="9">
        <v>67250</v>
      </c>
    </row>
    <row r="93" spans="2:3" x14ac:dyDescent="0.5">
      <c r="B93" s="8" t="s">
        <v>12</v>
      </c>
      <c r="C93" s="9">
        <v>18375</v>
      </c>
    </row>
    <row r="94" spans="2:3" x14ac:dyDescent="0.5">
      <c r="B94" s="7" t="s">
        <v>60</v>
      </c>
      <c r="C94" s="10">
        <f>SUM(C82:C93)</f>
        <v>683389</v>
      </c>
    </row>
    <row r="95" spans="2:3" x14ac:dyDescent="0.5">
      <c r="B95" s="12"/>
      <c r="C95" s="12"/>
    </row>
    <row r="96" spans="2:3" ht="14.4" x14ac:dyDescent="0.55000000000000004">
      <c r="B96" s="21" t="s">
        <v>143</v>
      </c>
    </row>
    <row r="97" spans="2:9" x14ac:dyDescent="0.5">
      <c r="B97" s="8"/>
      <c r="C97" s="70" t="s">
        <v>19</v>
      </c>
      <c r="D97" s="70"/>
      <c r="E97" s="70" t="s">
        <v>30</v>
      </c>
      <c r="F97" s="70"/>
      <c r="G97" s="70" t="s">
        <v>57</v>
      </c>
      <c r="H97" s="70"/>
    </row>
    <row r="98" spans="2:9" ht="25.8" x14ac:dyDescent="0.5">
      <c r="B98" s="7" t="s">
        <v>0</v>
      </c>
      <c r="C98" s="14" t="s">
        <v>20</v>
      </c>
      <c r="D98" s="14" t="s">
        <v>21</v>
      </c>
      <c r="E98" s="14" t="s">
        <v>20</v>
      </c>
      <c r="F98" s="14" t="s">
        <v>21</v>
      </c>
      <c r="G98" s="14" t="s">
        <v>20</v>
      </c>
      <c r="H98" s="14" t="s">
        <v>21</v>
      </c>
    </row>
    <row r="99" spans="2:9" x14ac:dyDescent="0.5">
      <c r="B99" s="8" t="s">
        <v>1</v>
      </c>
      <c r="C99" s="9">
        <v>85307.5</v>
      </c>
      <c r="D99" s="15">
        <v>1124478.01</v>
      </c>
      <c r="E99" s="9">
        <v>55499</v>
      </c>
      <c r="F99" s="15">
        <v>785865.84</v>
      </c>
      <c r="G99" s="8">
        <v>84</v>
      </c>
      <c r="H99" s="15">
        <v>683.55</v>
      </c>
      <c r="I99" s="67"/>
    </row>
    <row r="100" spans="2:9" x14ac:dyDescent="0.5">
      <c r="B100" s="8" t="s">
        <v>2</v>
      </c>
      <c r="C100" s="9">
        <v>74880.5</v>
      </c>
      <c r="D100" s="15">
        <v>987034.85499999998</v>
      </c>
      <c r="E100" s="9">
        <v>50951.5</v>
      </c>
      <c r="F100" s="15">
        <v>721473.24</v>
      </c>
      <c r="G100" s="8">
        <v>0</v>
      </c>
      <c r="H100" s="8">
        <v>0</v>
      </c>
      <c r="I100" s="67"/>
    </row>
    <row r="101" spans="2:9" x14ac:dyDescent="0.5">
      <c r="B101" s="8" t="s">
        <v>3</v>
      </c>
      <c r="C101" s="9">
        <v>66431</v>
      </c>
      <c r="D101" s="15">
        <v>875658.04500000004</v>
      </c>
      <c r="E101" s="9">
        <v>45981</v>
      </c>
      <c r="F101" s="15">
        <v>651090.96</v>
      </c>
      <c r="G101" s="8">
        <v>0</v>
      </c>
      <c r="H101" s="8">
        <v>0</v>
      </c>
      <c r="I101" s="67"/>
    </row>
    <row r="102" spans="2:9" x14ac:dyDescent="0.5">
      <c r="B102" s="8" t="s">
        <v>4</v>
      </c>
      <c r="C102" s="9">
        <v>53291</v>
      </c>
      <c r="D102" s="15">
        <v>702453.57</v>
      </c>
      <c r="E102" s="9">
        <v>44873</v>
      </c>
      <c r="F102" s="15">
        <v>635401.68000000005</v>
      </c>
      <c r="G102" s="8">
        <v>0</v>
      </c>
      <c r="H102" s="15">
        <v>0</v>
      </c>
      <c r="I102" s="67"/>
    </row>
    <row r="103" spans="2:9" x14ac:dyDescent="0.5">
      <c r="B103" s="8" t="s">
        <v>5</v>
      </c>
      <c r="C103" s="9">
        <v>79208</v>
      </c>
      <c r="D103" s="15">
        <v>1044077.655</v>
      </c>
      <c r="E103" s="9">
        <v>65133.5</v>
      </c>
      <c r="F103" s="15">
        <v>922290.36</v>
      </c>
      <c r="G103" s="8">
        <v>0</v>
      </c>
      <c r="H103" s="15">
        <v>0</v>
      </c>
      <c r="I103" s="67"/>
    </row>
    <row r="104" spans="2:9" x14ac:dyDescent="0.5">
      <c r="B104" s="8" t="s">
        <v>6</v>
      </c>
      <c r="C104" s="9">
        <v>561.5</v>
      </c>
      <c r="D104" s="15">
        <v>7401.3950000000004</v>
      </c>
      <c r="E104" s="9">
        <v>4450.5</v>
      </c>
      <c r="F104" s="15">
        <v>63019.08</v>
      </c>
      <c r="G104" s="9">
        <v>7281.5</v>
      </c>
      <c r="H104" s="15">
        <v>59253.205000000002</v>
      </c>
      <c r="I104" s="67"/>
    </row>
    <row r="105" spans="2:9" x14ac:dyDescent="0.5">
      <c r="B105" s="8" t="s">
        <v>7</v>
      </c>
      <c r="C105" s="9">
        <v>49373</v>
      </c>
      <c r="D105" s="15">
        <v>650808.57999999996</v>
      </c>
      <c r="E105" s="9">
        <v>61848.5</v>
      </c>
      <c r="F105" s="15">
        <v>875774.76</v>
      </c>
      <c r="G105" s="9">
        <v>7283.5</v>
      </c>
      <c r="H105" s="15">
        <v>59269.48</v>
      </c>
      <c r="I105" s="67"/>
    </row>
    <row r="106" spans="2:9" x14ac:dyDescent="0.5">
      <c r="B106" s="8" t="s">
        <v>8</v>
      </c>
      <c r="C106" s="9">
        <v>73133</v>
      </c>
      <c r="D106" s="15">
        <v>964000.24</v>
      </c>
      <c r="E106" s="9">
        <v>56436</v>
      </c>
      <c r="F106" s="15">
        <v>799133.76</v>
      </c>
      <c r="G106" s="8">
        <v>0</v>
      </c>
      <c r="H106" s="8">
        <v>0</v>
      </c>
      <c r="I106" s="67"/>
    </row>
    <row r="107" spans="2:9" x14ac:dyDescent="0.5">
      <c r="B107" s="8" t="s">
        <v>9</v>
      </c>
      <c r="C107" s="9">
        <v>78459.5</v>
      </c>
      <c r="D107" s="15">
        <v>1034211.325</v>
      </c>
      <c r="E107" s="9">
        <v>51371</v>
      </c>
      <c r="F107" s="15">
        <v>727413.36</v>
      </c>
      <c r="G107" s="9">
        <v>739</v>
      </c>
      <c r="H107" s="15">
        <v>6013.6149999999998</v>
      </c>
      <c r="I107" s="67"/>
    </row>
    <row r="108" spans="2:9" x14ac:dyDescent="0.5">
      <c r="B108" s="8" t="s">
        <v>10</v>
      </c>
      <c r="C108" s="9">
        <v>84739.5</v>
      </c>
      <c r="D108" s="15">
        <v>1116990.94</v>
      </c>
      <c r="E108" s="9">
        <v>60057.5</v>
      </c>
      <c r="F108" s="15">
        <v>850414.2</v>
      </c>
      <c r="G108" s="8">
        <v>0</v>
      </c>
      <c r="H108" s="8">
        <v>0</v>
      </c>
      <c r="I108" s="67"/>
    </row>
    <row r="109" spans="2:9" x14ac:dyDescent="0.5">
      <c r="B109" s="8" t="s">
        <v>11</v>
      </c>
      <c r="C109" s="9">
        <v>7289.5</v>
      </c>
      <c r="D109" s="15">
        <v>96086.304999999993</v>
      </c>
      <c r="E109" s="9">
        <v>734</v>
      </c>
      <c r="F109" s="15">
        <v>10393.44</v>
      </c>
      <c r="G109" s="8">
        <v>0</v>
      </c>
      <c r="H109" s="15">
        <v>0</v>
      </c>
      <c r="I109" s="67"/>
    </row>
    <row r="110" spans="2:9" x14ac:dyDescent="0.5">
      <c r="B110" s="8" t="s">
        <v>12</v>
      </c>
      <c r="C110" s="8">
        <v>69</v>
      </c>
      <c r="D110" s="15">
        <v>909.52</v>
      </c>
      <c r="E110" s="9">
        <v>36804</v>
      </c>
      <c r="F110" s="15">
        <v>521144.64</v>
      </c>
      <c r="G110" s="9">
        <v>5308.5</v>
      </c>
      <c r="H110" s="15">
        <v>43197.919999999998</v>
      </c>
      <c r="I110" s="67"/>
    </row>
    <row r="111" spans="2:9" x14ac:dyDescent="0.5">
      <c r="B111" s="7" t="s">
        <v>60</v>
      </c>
      <c r="C111" s="10">
        <f>SUM(C99:C110)</f>
        <v>652743</v>
      </c>
      <c r="D111" s="10">
        <f t="shared" ref="D111:H111" si="2">SUM(D99:D110)</f>
        <v>8604110.4399999995</v>
      </c>
      <c r="E111" s="10">
        <f t="shared" si="2"/>
        <v>534139.5</v>
      </c>
      <c r="F111" s="10">
        <f t="shared" si="2"/>
        <v>7563415.3200000003</v>
      </c>
      <c r="G111" s="10">
        <f t="shared" si="2"/>
        <v>20696.5</v>
      </c>
      <c r="H111" s="10">
        <f t="shared" si="2"/>
        <v>168417.77000000002</v>
      </c>
    </row>
    <row r="112" spans="2:9" x14ac:dyDescent="0.5"/>
    <row r="113" spans="2:9" ht="30.6" customHeight="1" x14ac:dyDescent="0.55000000000000004">
      <c r="B113" s="69" t="s">
        <v>144</v>
      </c>
      <c r="C113" s="69"/>
      <c r="D113" s="69"/>
      <c r="E113" s="69"/>
      <c r="F113" s="69"/>
      <c r="G113" s="69"/>
      <c r="H113" s="69"/>
      <c r="I113" s="69"/>
    </row>
    <row r="114" spans="2:9" x14ac:dyDescent="0.5">
      <c r="B114" s="6" t="s">
        <v>31</v>
      </c>
    </row>
    <row r="115" spans="2:9" x14ac:dyDescent="0.5">
      <c r="B115" s="6" t="s">
        <v>32</v>
      </c>
    </row>
    <row r="116" spans="2:9" ht="25.8" x14ac:dyDescent="0.5">
      <c r="B116" s="14" t="s">
        <v>0</v>
      </c>
      <c r="C116" s="14" t="s">
        <v>58</v>
      </c>
      <c r="D116" s="14" t="s">
        <v>59</v>
      </c>
      <c r="E116" s="49"/>
    </row>
    <row r="117" spans="2:9" x14ac:dyDescent="0.5">
      <c r="B117" s="16" t="s">
        <v>1</v>
      </c>
      <c r="C117" s="17">
        <v>63119</v>
      </c>
      <c r="D117" s="17">
        <v>7837.666666666667</v>
      </c>
      <c r="E117" s="50"/>
    </row>
    <row r="118" spans="2:9" x14ac:dyDescent="0.5">
      <c r="B118" s="16" t="s">
        <v>2</v>
      </c>
      <c r="C118" s="17">
        <v>39925.666666666664</v>
      </c>
      <c r="D118" s="17">
        <v>7862.666666666667</v>
      </c>
      <c r="E118" s="50"/>
    </row>
    <row r="119" spans="2:9" x14ac:dyDescent="0.5">
      <c r="B119" s="16" t="s">
        <v>3</v>
      </c>
      <c r="C119" s="17">
        <v>25686.666666666668</v>
      </c>
      <c r="D119" s="17">
        <v>7809.333333333333</v>
      </c>
      <c r="E119" s="50"/>
    </row>
    <row r="120" spans="2:9" x14ac:dyDescent="0.5">
      <c r="B120" s="16" t="s">
        <v>4</v>
      </c>
      <c r="C120" s="17">
        <v>25432</v>
      </c>
      <c r="D120" s="17">
        <v>7825.666666666667</v>
      </c>
      <c r="E120" s="50"/>
    </row>
    <row r="121" spans="2:9" x14ac:dyDescent="0.5">
      <c r="B121" s="16" t="s">
        <v>5</v>
      </c>
      <c r="C121" s="17">
        <v>31621</v>
      </c>
      <c r="D121" s="17">
        <v>7742.333333333333</v>
      </c>
      <c r="E121" s="50"/>
    </row>
    <row r="122" spans="2:9" x14ac:dyDescent="0.5">
      <c r="B122" s="16" t="s">
        <v>6</v>
      </c>
      <c r="C122" s="17">
        <v>51254</v>
      </c>
      <c r="D122" s="17">
        <v>7756.666666666667</v>
      </c>
      <c r="E122" s="50"/>
    </row>
    <row r="123" spans="2:9" x14ac:dyDescent="0.5">
      <c r="B123" s="16" t="s">
        <v>7</v>
      </c>
      <c r="C123" s="17">
        <v>55189.666666666664</v>
      </c>
      <c r="D123" s="17">
        <v>7832.333333333333</v>
      </c>
      <c r="E123" s="50"/>
    </row>
    <row r="124" spans="2:9" x14ac:dyDescent="0.5">
      <c r="B124" s="16" t="s">
        <v>8</v>
      </c>
      <c r="C124" s="17">
        <v>60487.666666666664</v>
      </c>
      <c r="D124" s="17">
        <v>7805</v>
      </c>
      <c r="E124" s="50"/>
    </row>
    <row r="125" spans="2:9" x14ac:dyDescent="0.5">
      <c r="B125" s="16" t="s">
        <v>9</v>
      </c>
      <c r="C125" s="17">
        <v>52591</v>
      </c>
      <c r="D125" s="17">
        <v>7722.666666666667</v>
      </c>
      <c r="E125" s="50"/>
    </row>
    <row r="126" spans="2:9" x14ac:dyDescent="0.5">
      <c r="B126" s="16" t="s">
        <v>10</v>
      </c>
      <c r="C126" s="17">
        <v>60600.666666666664</v>
      </c>
      <c r="D126" s="17">
        <v>7674.666666666667</v>
      </c>
      <c r="E126" s="50"/>
    </row>
    <row r="127" spans="2:9" x14ac:dyDescent="0.5">
      <c r="B127" s="16" t="s">
        <v>11</v>
      </c>
      <c r="C127" s="17">
        <v>73397</v>
      </c>
      <c r="D127" s="17">
        <v>7693.333333333333</v>
      </c>
      <c r="E127" s="50"/>
    </row>
    <row r="128" spans="2:9" x14ac:dyDescent="0.5">
      <c r="B128" s="16" t="s">
        <v>12</v>
      </c>
      <c r="C128" s="17">
        <v>70927.666666666672</v>
      </c>
      <c r="D128" s="17">
        <v>7844</v>
      </c>
      <c r="E128" s="50"/>
    </row>
    <row r="129" spans="2:9" x14ac:dyDescent="0.5">
      <c r="B129" s="14" t="s">
        <v>60</v>
      </c>
      <c r="C129" s="18">
        <f>SUM(C117:C128)</f>
        <v>610232</v>
      </c>
      <c r="D129" s="18">
        <f>SUM(D117:D128)</f>
        <v>93406.333333333343</v>
      </c>
      <c r="E129" s="51"/>
    </row>
    <row r="130" spans="2:9" x14ac:dyDescent="0.5"/>
    <row r="131" spans="2:9" ht="14.7" thickBot="1" x14ac:dyDescent="0.6">
      <c r="B131" s="69" t="s">
        <v>178</v>
      </c>
      <c r="C131" s="69"/>
      <c r="D131" s="69"/>
      <c r="E131" s="69"/>
      <c r="F131" s="69"/>
      <c r="G131" s="69"/>
      <c r="H131" s="69"/>
      <c r="I131" s="69"/>
    </row>
    <row r="132" spans="2:9" ht="26.1" thickBot="1" x14ac:dyDescent="0.55000000000000004">
      <c r="B132" s="54" t="s">
        <v>100</v>
      </c>
      <c r="C132" s="54" t="s">
        <v>145</v>
      </c>
      <c r="D132" s="54" t="s">
        <v>146</v>
      </c>
      <c r="E132" s="54" t="s">
        <v>131</v>
      </c>
      <c r="F132" s="54" t="s">
        <v>129</v>
      </c>
    </row>
    <row r="133" spans="2:9" ht="13.2" thickBot="1" x14ac:dyDescent="0.55000000000000004">
      <c r="B133" s="55" t="s">
        <v>28</v>
      </c>
      <c r="C133" s="55">
        <v>50</v>
      </c>
      <c r="D133" s="55"/>
      <c r="E133" s="55">
        <v>1</v>
      </c>
      <c r="F133" s="55">
        <v>0.8</v>
      </c>
    </row>
    <row r="134" spans="2:9" ht="13.2" thickBot="1" x14ac:dyDescent="0.55000000000000004">
      <c r="B134" s="55" t="s">
        <v>29</v>
      </c>
      <c r="C134" s="55">
        <v>6.5</v>
      </c>
      <c r="D134" s="55"/>
      <c r="E134" s="55">
        <v>50</v>
      </c>
      <c r="F134" s="55">
        <v>0.9</v>
      </c>
    </row>
    <row r="135" spans="2:9" ht="13.2" thickBot="1" x14ac:dyDescent="0.55000000000000004">
      <c r="B135" s="55" t="s">
        <v>109</v>
      </c>
      <c r="C135" s="55">
        <v>170</v>
      </c>
      <c r="D135" s="55">
        <v>4</v>
      </c>
      <c r="E135" s="55">
        <v>1</v>
      </c>
      <c r="F135" s="55">
        <v>0.8</v>
      </c>
    </row>
    <row r="136" spans="2:9" ht="13.2" thickBot="1" x14ac:dyDescent="0.55000000000000004">
      <c r="B136" s="55" t="s">
        <v>127</v>
      </c>
      <c r="C136" s="55">
        <v>30</v>
      </c>
      <c r="D136" s="55"/>
      <c r="E136" s="55">
        <v>2</v>
      </c>
      <c r="F136" s="55">
        <v>0.8</v>
      </c>
    </row>
    <row r="137" spans="2:9" ht="13.2" thickBot="1" x14ac:dyDescent="0.55000000000000004">
      <c r="B137" s="55" t="s">
        <v>110</v>
      </c>
      <c r="C137" s="55">
        <v>130</v>
      </c>
      <c r="D137" s="55">
        <v>1.4</v>
      </c>
      <c r="E137" s="55">
        <v>1</v>
      </c>
      <c r="F137" s="55">
        <v>0.8</v>
      </c>
    </row>
    <row r="138" spans="2:9" ht="13.2" thickBot="1" x14ac:dyDescent="0.55000000000000004">
      <c r="B138" s="55" t="s">
        <v>126</v>
      </c>
      <c r="C138" s="55">
        <v>150</v>
      </c>
      <c r="D138" s="55"/>
      <c r="E138" s="55">
        <v>2</v>
      </c>
      <c r="F138" s="55">
        <v>0.8</v>
      </c>
    </row>
    <row r="139" spans="2:9" ht="13.2" thickBot="1" x14ac:dyDescent="0.55000000000000004">
      <c r="B139" s="55" t="s">
        <v>128</v>
      </c>
      <c r="C139" s="55">
        <v>100</v>
      </c>
      <c r="D139" s="55">
        <v>1</v>
      </c>
      <c r="E139" s="55">
        <v>1</v>
      </c>
      <c r="F139" s="55">
        <v>0.8</v>
      </c>
    </row>
    <row r="140" spans="2:9" ht="13.2" thickBot="1" x14ac:dyDescent="0.55000000000000004">
      <c r="B140" s="55" t="s">
        <v>132</v>
      </c>
      <c r="C140" s="55">
        <v>100</v>
      </c>
      <c r="D140" s="55">
        <v>3</v>
      </c>
      <c r="E140" s="55">
        <v>1</v>
      </c>
      <c r="F140" s="55">
        <v>0.8</v>
      </c>
    </row>
    <row r="141" spans="2:9" ht="13.2" thickBot="1" x14ac:dyDescent="0.55000000000000004">
      <c r="B141" s="55" t="s">
        <v>122</v>
      </c>
      <c r="C141" s="55">
        <v>20</v>
      </c>
      <c r="D141" s="55"/>
      <c r="E141" s="55">
        <v>1</v>
      </c>
      <c r="F141" s="55">
        <v>0.8</v>
      </c>
    </row>
    <row r="142" spans="2:9" ht="26.1" thickBot="1" x14ac:dyDescent="0.55000000000000004">
      <c r="B142" s="55" t="s">
        <v>138</v>
      </c>
      <c r="C142" s="55">
        <v>40</v>
      </c>
      <c r="D142" s="55"/>
      <c r="E142" s="55">
        <v>1</v>
      </c>
      <c r="F142" s="55">
        <v>0.8</v>
      </c>
    </row>
    <row r="143" spans="2:9" ht="13.2" thickBot="1" x14ac:dyDescent="0.55000000000000004">
      <c r="B143" s="55" t="s">
        <v>24</v>
      </c>
      <c r="C143" s="55">
        <v>80</v>
      </c>
      <c r="D143" s="55"/>
      <c r="E143" s="55">
        <v>1</v>
      </c>
      <c r="F143" s="55">
        <v>0.85</v>
      </c>
    </row>
    <row r="144" spans="2:9" ht="13.2" thickBot="1" x14ac:dyDescent="0.55000000000000004">
      <c r="B144" s="55" t="s">
        <v>25</v>
      </c>
      <c r="C144" s="55">
        <v>11</v>
      </c>
      <c r="D144" s="55"/>
      <c r="E144" s="55">
        <v>1</v>
      </c>
      <c r="F144" s="55">
        <v>0.9</v>
      </c>
    </row>
    <row r="145" spans="2:6" ht="13.2" thickBot="1" x14ac:dyDescent="0.55000000000000004">
      <c r="B145" s="55" t="s">
        <v>26</v>
      </c>
      <c r="C145" s="55">
        <v>30</v>
      </c>
      <c r="D145" s="55"/>
      <c r="E145" s="55">
        <v>1</v>
      </c>
      <c r="F145" s="55">
        <v>0.9</v>
      </c>
    </row>
    <row r="146" spans="2:6" ht="14.4" x14ac:dyDescent="0.55000000000000004">
      <c r="B146" s="5"/>
      <c r="C146" s="5"/>
      <c r="D146" s="5"/>
      <c r="E146" s="5"/>
    </row>
    <row r="147" spans="2:6" ht="14.4" x14ac:dyDescent="0.55000000000000004">
      <c r="B147" s="21" t="s">
        <v>136</v>
      </c>
      <c r="E147" s="5"/>
    </row>
    <row r="148" spans="2:6" ht="25.8" x14ac:dyDescent="0.5">
      <c r="B148" s="14" t="s">
        <v>33</v>
      </c>
      <c r="C148" s="14" t="s">
        <v>34</v>
      </c>
      <c r="D148" s="14" t="s">
        <v>35</v>
      </c>
      <c r="E148" s="14" t="s">
        <v>36</v>
      </c>
    </row>
    <row r="149" spans="2:6" x14ac:dyDescent="0.5">
      <c r="B149" s="16" t="s">
        <v>37</v>
      </c>
      <c r="C149" s="16" t="s">
        <v>38</v>
      </c>
      <c r="D149" s="16" t="s">
        <v>39</v>
      </c>
      <c r="E149" s="16" t="s">
        <v>40</v>
      </c>
    </row>
    <row r="150" spans="2:6" x14ac:dyDescent="0.5">
      <c r="B150" s="16" t="s">
        <v>41</v>
      </c>
      <c r="C150" s="16" t="s">
        <v>38</v>
      </c>
      <c r="D150" s="16" t="s">
        <v>42</v>
      </c>
      <c r="E150" s="16" t="s">
        <v>43</v>
      </c>
    </row>
    <row r="151" spans="2:6" x14ac:dyDescent="0.5">
      <c r="B151" s="16" t="s">
        <v>41</v>
      </c>
      <c r="C151" s="16" t="s">
        <v>38</v>
      </c>
      <c r="D151" s="16" t="s">
        <v>44</v>
      </c>
      <c r="E151" s="16" t="s">
        <v>43</v>
      </c>
    </row>
    <row r="152" spans="2:6" x14ac:dyDescent="0.5">
      <c r="B152" s="16" t="s">
        <v>41</v>
      </c>
      <c r="C152" s="16" t="s">
        <v>38</v>
      </c>
      <c r="D152" s="16" t="s">
        <v>45</v>
      </c>
      <c r="E152" s="16" t="s">
        <v>43</v>
      </c>
    </row>
    <row r="153" spans="2:6" x14ac:dyDescent="0.5">
      <c r="B153" s="16" t="s">
        <v>41</v>
      </c>
      <c r="C153" s="16" t="s">
        <v>94</v>
      </c>
      <c r="D153" s="16" t="s">
        <v>91</v>
      </c>
      <c r="E153" s="16" t="s">
        <v>40</v>
      </c>
    </row>
    <row r="154" spans="2:6" x14ac:dyDescent="0.5">
      <c r="B154" s="16" t="s">
        <v>41</v>
      </c>
      <c r="C154" s="16" t="s">
        <v>46</v>
      </c>
      <c r="D154" s="16" t="s">
        <v>47</v>
      </c>
      <c r="E154" s="16" t="s">
        <v>40</v>
      </c>
    </row>
    <row r="155" spans="2:6" x14ac:dyDescent="0.5">
      <c r="B155" s="16" t="s">
        <v>41</v>
      </c>
      <c r="C155" s="16" t="s">
        <v>46</v>
      </c>
      <c r="D155" s="16" t="s">
        <v>48</v>
      </c>
      <c r="E155" s="16" t="s">
        <v>40</v>
      </c>
    </row>
    <row r="156" spans="2:6" x14ac:dyDescent="0.5">
      <c r="B156" s="16" t="s">
        <v>41</v>
      </c>
      <c r="C156" s="16" t="s">
        <v>49</v>
      </c>
      <c r="D156" s="16" t="s">
        <v>50</v>
      </c>
      <c r="E156" s="16" t="s">
        <v>40</v>
      </c>
    </row>
    <row r="157" spans="2:6" x14ac:dyDescent="0.5">
      <c r="B157" s="16" t="s">
        <v>41</v>
      </c>
      <c r="C157" s="16" t="s">
        <v>51</v>
      </c>
      <c r="D157" s="16" t="s">
        <v>52</v>
      </c>
      <c r="E157" s="16" t="s">
        <v>40</v>
      </c>
    </row>
    <row r="158" spans="2:6" x14ac:dyDescent="0.5">
      <c r="B158" s="16" t="s">
        <v>41</v>
      </c>
      <c r="C158" s="16" t="s">
        <v>51</v>
      </c>
      <c r="D158" s="16" t="s">
        <v>92</v>
      </c>
      <c r="E158" s="16" t="s">
        <v>40</v>
      </c>
    </row>
    <row r="159" spans="2:6" ht="25.8" x14ac:dyDescent="0.5">
      <c r="B159" s="16" t="s">
        <v>41</v>
      </c>
      <c r="C159" s="16" t="s">
        <v>51</v>
      </c>
      <c r="D159" s="16" t="s">
        <v>93</v>
      </c>
      <c r="E159" s="16" t="s">
        <v>40</v>
      </c>
    </row>
    <row r="160" spans="2:6" x14ac:dyDescent="0.5">
      <c r="B160" s="16" t="s">
        <v>37</v>
      </c>
      <c r="C160" s="16" t="s">
        <v>53</v>
      </c>
      <c r="D160" s="16" t="s">
        <v>39</v>
      </c>
      <c r="E160" s="16" t="s">
        <v>40</v>
      </c>
    </row>
    <row r="161" spans="2:5" x14ac:dyDescent="0.5">
      <c r="B161" s="16" t="s">
        <v>54</v>
      </c>
      <c r="C161" s="16" t="s">
        <v>53</v>
      </c>
      <c r="D161" s="16" t="s">
        <v>13</v>
      </c>
      <c r="E161" s="16" t="s">
        <v>43</v>
      </c>
    </row>
    <row r="162" spans="2:5" x14ac:dyDescent="0.5">
      <c r="B162" s="16" t="s">
        <v>54</v>
      </c>
      <c r="C162" s="16" t="s">
        <v>53</v>
      </c>
      <c r="D162" s="16" t="s">
        <v>44</v>
      </c>
      <c r="E162" s="16" t="s">
        <v>43</v>
      </c>
    </row>
    <row r="163" spans="2:5" x14ac:dyDescent="0.5">
      <c r="B163" s="16" t="s">
        <v>54</v>
      </c>
      <c r="C163" s="16" t="s">
        <v>53</v>
      </c>
      <c r="D163" s="16" t="s">
        <v>45</v>
      </c>
      <c r="E163" s="16" t="s">
        <v>43</v>
      </c>
    </row>
    <row r="164" spans="2:5" x14ac:dyDescent="0.5">
      <c r="B164" s="16" t="s">
        <v>54</v>
      </c>
      <c r="C164" s="16" t="s">
        <v>53</v>
      </c>
      <c r="D164" s="16" t="s">
        <v>22</v>
      </c>
      <c r="E164" s="16" t="s">
        <v>43</v>
      </c>
    </row>
    <row r="165" spans="2:5" x14ac:dyDescent="0.5">
      <c r="B165" s="16" t="s">
        <v>54</v>
      </c>
      <c r="C165" s="16" t="s">
        <v>53</v>
      </c>
      <c r="D165" s="16" t="s">
        <v>23</v>
      </c>
      <c r="E165" s="16" t="s">
        <v>43</v>
      </c>
    </row>
    <row r="166" spans="2:5" x14ac:dyDescent="0.5">
      <c r="B166" s="16" t="s">
        <v>54</v>
      </c>
      <c r="C166" s="16" t="s">
        <v>53</v>
      </c>
      <c r="D166" s="16" t="s">
        <v>55</v>
      </c>
      <c r="E166" s="16" t="s">
        <v>43</v>
      </c>
    </row>
    <row r="167" spans="2:5" x14ac:dyDescent="0.5">
      <c r="B167" s="16" t="s">
        <v>54</v>
      </c>
      <c r="C167" s="16" t="s">
        <v>53</v>
      </c>
      <c r="D167" s="16" t="s">
        <v>29</v>
      </c>
      <c r="E167" s="16" t="s">
        <v>43</v>
      </c>
    </row>
    <row r="168" spans="2:5" ht="25.8" x14ac:dyDescent="0.5">
      <c r="B168" s="16" t="s">
        <v>54</v>
      </c>
      <c r="C168" s="16" t="s">
        <v>53</v>
      </c>
      <c r="D168" s="16" t="s">
        <v>56</v>
      </c>
      <c r="E168" s="16" t="s">
        <v>43</v>
      </c>
    </row>
    <row r="169" spans="2:5" x14ac:dyDescent="0.5">
      <c r="B169" s="16" t="s">
        <v>54</v>
      </c>
      <c r="C169" s="16" t="s">
        <v>53</v>
      </c>
      <c r="D169" s="16" t="s">
        <v>24</v>
      </c>
      <c r="E169" s="16" t="s">
        <v>43</v>
      </c>
    </row>
    <row r="170" spans="2:5" x14ac:dyDescent="0.5"/>
    <row r="171" spans="2:5" hidden="1" x14ac:dyDescent="0.5"/>
    <row r="172" spans="2:5" hidden="1" x14ac:dyDescent="0.5"/>
    <row r="173" spans="2:5" hidden="1" x14ac:dyDescent="0.5"/>
    <row r="174" spans="2:5" hidden="1" x14ac:dyDescent="0.5"/>
    <row r="175" spans="2:5" hidden="1" x14ac:dyDescent="0.5"/>
    <row r="176" spans="2:5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x14ac:dyDescent="0.5"/>
    <row r="187" x14ac:dyDescent="0.5"/>
    <row r="188" x14ac:dyDescent="0.5"/>
    <row r="189" x14ac:dyDescent="0.5"/>
    <row r="190" x14ac:dyDescent="0.5"/>
    <row r="191" x14ac:dyDescent="0.5"/>
    <row r="192" x14ac:dyDescent="0.5"/>
    <row r="193" x14ac:dyDescent="0.5"/>
    <row r="194" x14ac:dyDescent="0.5"/>
    <row r="195" x14ac:dyDescent="0.5"/>
    <row r="196" x14ac:dyDescent="0.5"/>
    <row r="197" x14ac:dyDescent="0.5"/>
    <row r="198" x14ac:dyDescent="0.5"/>
    <row r="199" x14ac:dyDescent="0.5"/>
    <row r="200" x14ac:dyDescent="0.5"/>
    <row r="201" x14ac:dyDescent="0.5"/>
    <row r="202" x14ac:dyDescent="0.5"/>
    <row r="203" x14ac:dyDescent="0.5"/>
    <row r="204" x14ac:dyDescent="0.5"/>
    <row r="205" x14ac:dyDescent="0.5"/>
    <row r="206" x14ac:dyDescent="0.5"/>
    <row r="207" x14ac:dyDescent="0.5"/>
    <row r="208" x14ac:dyDescent="0.5"/>
    <row r="209" x14ac:dyDescent="0.5"/>
    <row r="210" x14ac:dyDescent="0.5"/>
    <row r="211" x14ac:dyDescent="0.5"/>
    <row r="212" x14ac:dyDescent="0.5"/>
    <row r="213" x14ac:dyDescent="0.5"/>
    <row r="214" x14ac:dyDescent="0.5"/>
    <row r="215" x14ac:dyDescent="0.5"/>
    <row r="216" x14ac:dyDescent="0.5"/>
    <row r="217" x14ac:dyDescent="0.5"/>
    <row r="218" x14ac:dyDescent="0.5"/>
    <row r="219" x14ac:dyDescent="0.5"/>
    <row r="220" x14ac:dyDescent="0.5"/>
    <row r="221" x14ac:dyDescent="0.5"/>
    <row r="222" x14ac:dyDescent="0.5"/>
    <row r="223" x14ac:dyDescent="0.5"/>
    <row r="224" x14ac:dyDescent="0.5"/>
    <row r="225" x14ac:dyDescent="0.5"/>
    <row r="226" x14ac:dyDescent="0.5"/>
    <row r="227" x14ac:dyDescent="0.5"/>
    <row r="228" x14ac:dyDescent="0.5"/>
  </sheetData>
  <mergeCells count="13">
    <mergeCell ref="B131:I131"/>
    <mergeCell ref="B9:I9"/>
    <mergeCell ref="B10:I10"/>
    <mergeCell ref="B5:I5"/>
    <mergeCell ref="B113:I113"/>
    <mergeCell ref="E97:F97"/>
    <mergeCell ref="G97:H97"/>
    <mergeCell ref="C97:D97"/>
    <mergeCell ref="B3:I3"/>
    <mergeCell ref="B4:I4"/>
    <mergeCell ref="B6:I6"/>
    <mergeCell ref="B7:I7"/>
    <mergeCell ref="B8:I8"/>
  </mergeCells>
  <pageMargins left="0.4375" right="0.25" top="0.75" bottom="0.8125" header="0.3" footer="0.3"/>
  <pageSetup orientation="portrait" r:id="rId1"/>
  <headerFooter>
    <oddHeader>&amp;LResourse Efficient Management of Energy (REME)</oddHeader>
    <oddFooter>&amp;L&amp;P&amp;R&amp;G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3"/>
  <sheetViews>
    <sheetView zoomScale="90" zoomScaleNormal="90" workbookViewId="0">
      <selection activeCell="C49" sqref="C49:G49"/>
    </sheetView>
  </sheetViews>
  <sheetFormatPr defaultRowHeight="14.4" x14ac:dyDescent="0.55000000000000004"/>
  <cols>
    <col min="2" max="2" width="30.62890625" style="1" customWidth="1"/>
    <col min="3" max="6" width="19.1015625" customWidth="1"/>
    <col min="7" max="7" width="18.578125" customWidth="1"/>
    <col min="8" max="9" width="13.47265625" customWidth="1"/>
    <col min="10" max="10" width="17.15625" customWidth="1"/>
    <col min="11" max="11" width="24.26171875" customWidth="1"/>
  </cols>
  <sheetData>
    <row r="1" spans="2:11" s="6" customFormat="1" ht="17.399999999999999" x14ac:dyDescent="0.55000000000000004">
      <c r="B1" s="19" t="str">
        <f>Data!B1</f>
        <v>HO 130005b - THE TEXTILE COMPANY – ENERGY BASELINE - SOLUTION</v>
      </c>
    </row>
    <row r="2" spans="2:11" s="6" customFormat="1" ht="12.9" x14ac:dyDescent="0.5"/>
    <row r="4" spans="2:11" ht="17.100000000000001" thickBot="1" x14ac:dyDescent="0.7">
      <c r="B4" s="42" t="s">
        <v>84</v>
      </c>
    </row>
    <row r="5" spans="2:11" ht="14.7" thickBot="1" x14ac:dyDescent="0.6">
      <c r="B5" s="24" t="s">
        <v>83</v>
      </c>
      <c r="C5" s="23" t="s">
        <v>86</v>
      </c>
      <c r="D5" s="23" t="s">
        <v>80</v>
      </c>
      <c r="E5" s="29" t="s">
        <v>82</v>
      </c>
      <c r="F5" s="29" t="s">
        <v>87</v>
      </c>
      <c r="G5" s="29" t="s">
        <v>88</v>
      </c>
    </row>
    <row r="6" spans="2:11" ht="14.7" thickBot="1" x14ac:dyDescent="0.6">
      <c r="B6" s="43" t="s">
        <v>107</v>
      </c>
      <c r="C6" s="41">
        <f>Data!G59</f>
        <v>1267274.8</v>
      </c>
      <c r="D6" s="40" t="s">
        <v>81</v>
      </c>
      <c r="E6" s="37">
        <f>C6*0.0036</f>
        <v>4562.1892799999996</v>
      </c>
      <c r="F6" s="34">
        <f>E6/$E$11</f>
        <v>1.0234283253212477E-2</v>
      </c>
      <c r="G6" s="30"/>
    </row>
    <row r="7" spans="2:11" ht="14.7" thickBot="1" x14ac:dyDescent="0.6">
      <c r="B7" s="43" t="s">
        <v>120</v>
      </c>
      <c r="C7" s="41">
        <f>SUM(Data!C59,Data!E59)</f>
        <v>3810835.8000000007</v>
      </c>
      <c r="D7" s="40" t="s">
        <v>75</v>
      </c>
      <c r="E7" s="37">
        <f>C7*Data!C37*1.06</f>
        <v>141382.00818000003</v>
      </c>
      <c r="F7" s="34">
        <f t="shared" ref="F7:F10" si="0">E7/$E$11</f>
        <v>0.3171599049967791</v>
      </c>
      <c r="G7" s="30"/>
    </row>
    <row r="8" spans="2:11" ht="14.7" thickBot="1" x14ac:dyDescent="0.6">
      <c r="B8" s="43" t="s">
        <v>133</v>
      </c>
      <c r="C8" s="61"/>
      <c r="D8" s="40" t="s">
        <v>75</v>
      </c>
      <c r="E8" s="37">
        <f>C8*Data!C37*1.06</f>
        <v>0</v>
      </c>
      <c r="F8" s="34">
        <f t="shared" si="0"/>
        <v>0</v>
      </c>
      <c r="G8" s="32" t="s">
        <v>186</v>
      </c>
    </row>
    <row r="9" spans="2:11" ht="14.7" thickBot="1" x14ac:dyDescent="0.6">
      <c r="B9" s="43" t="s">
        <v>150</v>
      </c>
      <c r="C9" s="41">
        <f>Data!C77+Data!E77</f>
        <v>11214665.167200003</v>
      </c>
      <c r="D9" s="40" t="s">
        <v>108</v>
      </c>
      <c r="E9" s="37">
        <f>C9*Data!$C$40*0.0000042</f>
        <v>282609.56221344008</v>
      </c>
      <c r="F9" s="34">
        <f t="shared" si="0"/>
        <v>0.63397332557817943</v>
      </c>
      <c r="G9" s="30"/>
    </row>
    <row r="10" spans="2:11" ht="14.7" thickBot="1" x14ac:dyDescent="0.6">
      <c r="B10" s="43" t="s">
        <v>154</v>
      </c>
      <c r="C10" s="41">
        <f>+Data!C94</f>
        <v>683389</v>
      </c>
      <c r="D10" s="40" t="s">
        <v>108</v>
      </c>
      <c r="E10" s="37">
        <f>C10*Data!$C$40*0.0000042</f>
        <v>17221.4028</v>
      </c>
      <c r="F10" s="34">
        <f t="shared" si="0"/>
        <v>3.8632486171828996E-2</v>
      </c>
      <c r="G10" s="30"/>
    </row>
    <row r="11" spans="2:11" ht="14.7" thickBot="1" x14ac:dyDescent="0.6">
      <c r="B11" s="24" t="s">
        <v>60</v>
      </c>
      <c r="C11" s="41"/>
      <c r="D11" s="40"/>
      <c r="E11" s="35">
        <f>SUM(E6:E10)</f>
        <v>445775.16247344011</v>
      </c>
      <c r="F11" s="39"/>
      <c r="G11" s="30"/>
    </row>
    <row r="13" spans="2:11" ht="17.100000000000001" thickBot="1" x14ac:dyDescent="0.7">
      <c r="B13" s="45" t="s">
        <v>85</v>
      </c>
    </row>
    <row r="14" spans="2:11" ht="14.7" thickTop="1" x14ac:dyDescent="0.55000000000000004"/>
    <row r="15" spans="2:11" ht="14.7" thickBot="1" x14ac:dyDescent="0.6">
      <c r="B15" s="4" t="s">
        <v>89</v>
      </c>
      <c r="C15" s="2" t="s">
        <v>53</v>
      </c>
    </row>
    <row r="16" spans="2:11" s="1" customFormat="1" ht="14.7" thickBot="1" x14ac:dyDescent="0.6">
      <c r="B16" s="46" t="s">
        <v>100</v>
      </c>
      <c r="C16" s="46" t="s">
        <v>147</v>
      </c>
      <c r="D16" s="46" t="s">
        <v>149</v>
      </c>
      <c r="E16" s="46" t="s">
        <v>131</v>
      </c>
      <c r="F16" s="46" t="s">
        <v>129</v>
      </c>
      <c r="G16" s="46" t="s">
        <v>117</v>
      </c>
      <c r="H16" s="46" t="s">
        <v>130</v>
      </c>
      <c r="I16" s="46" t="s">
        <v>98</v>
      </c>
      <c r="J16" s="44" t="s">
        <v>87</v>
      </c>
      <c r="K16" s="44" t="s">
        <v>88</v>
      </c>
    </row>
    <row r="17" spans="2:11" ht="14.7" thickBot="1" x14ac:dyDescent="0.6">
      <c r="B17" s="32" t="s">
        <v>28</v>
      </c>
      <c r="C17" s="32">
        <v>50</v>
      </c>
      <c r="D17" s="32" t="s">
        <v>148</v>
      </c>
      <c r="E17" s="32">
        <v>1</v>
      </c>
      <c r="F17" s="32">
        <v>0.8</v>
      </c>
      <c r="G17" s="32">
        <f>330*24</f>
        <v>7920</v>
      </c>
      <c r="H17" s="52">
        <f t="shared" ref="H17:H30" si="1">C17*E17*F17*G17</f>
        <v>316800</v>
      </c>
      <c r="I17" s="52">
        <f>H17*0.0036</f>
        <v>1140.48</v>
      </c>
      <c r="J17" s="34">
        <f t="shared" ref="J17:J33" si="2">I17/$I$34</f>
        <v>1.9760656187718769E-2</v>
      </c>
      <c r="K17" s="32"/>
    </row>
    <row r="18" spans="2:11" ht="14.7" thickBot="1" x14ac:dyDescent="0.6">
      <c r="B18" s="32" t="s">
        <v>29</v>
      </c>
      <c r="C18" s="32">
        <v>6.5</v>
      </c>
      <c r="D18" s="32" t="s">
        <v>148</v>
      </c>
      <c r="E18" s="32">
        <v>50</v>
      </c>
      <c r="F18" s="32">
        <v>0.9</v>
      </c>
      <c r="G18" s="32">
        <f t="shared" ref="G18:G30" si="3">330*24</f>
        <v>7920</v>
      </c>
      <c r="H18" s="52">
        <f t="shared" si="1"/>
        <v>2316600</v>
      </c>
      <c r="I18" s="52">
        <f t="shared" ref="I18:I33" si="4">H18*0.0036</f>
        <v>8339.76</v>
      </c>
      <c r="J18" s="62">
        <f t="shared" si="2"/>
        <v>0.1444997983726935</v>
      </c>
      <c r="K18" s="32"/>
    </row>
    <row r="19" spans="2:11" ht="14.7" thickBot="1" x14ac:dyDescent="0.6">
      <c r="B19" s="32" t="s">
        <v>109</v>
      </c>
      <c r="C19" s="32">
        <v>170</v>
      </c>
      <c r="D19" s="32" t="s">
        <v>148</v>
      </c>
      <c r="E19" s="32">
        <v>1</v>
      </c>
      <c r="F19" s="32">
        <v>0.8</v>
      </c>
      <c r="G19" s="32">
        <f t="shared" si="3"/>
        <v>7920</v>
      </c>
      <c r="H19" s="52">
        <f t="shared" si="1"/>
        <v>1077120</v>
      </c>
      <c r="I19" s="52">
        <f t="shared" si="4"/>
        <v>3877.6320000000001</v>
      </c>
      <c r="J19" s="62">
        <f t="shared" si="2"/>
        <v>6.718623103824381E-2</v>
      </c>
      <c r="K19" s="32"/>
    </row>
    <row r="20" spans="2:11" ht="14.7" thickBot="1" x14ac:dyDescent="0.6">
      <c r="B20" s="32" t="s">
        <v>127</v>
      </c>
      <c r="C20" s="32">
        <v>30</v>
      </c>
      <c r="D20" s="32" t="s">
        <v>148</v>
      </c>
      <c r="E20" s="32">
        <v>2</v>
      </c>
      <c r="F20" s="32">
        <v>0.8</v>
      </c>
      <c r="G20" s="32">
        <f t="shared" si="3"/>
        <v>7920</v>
      </c>
      <c r="H20" s="52">
        <f t="shared" si="1"/>
        <v>380160</v>
      </c>
      <c r="I20" s="52">
        <f t="shared" si="4"/>
        <v>1368.576</v>
      </c>
      <c r="J20" s="34">
        <f t="shared" si="2"/>
        <v>2.3712787425262522E-2</v>
      </c>
      <c r="K20" s="32"/>
    </row>
    <row r="21" spans="2:11" ht="14.7" thickBot="1" x14ac:dyDescent="0.6">
      <c r="B21" s="32" t="s">
        <v>110</v>
      </c>
      <c r="C21" s="32">
        <v>130</v>
      </c>
      <c r="D21" s="32" t="s">
        <v>148</v>
      </c>
      <c r="E21" s="32">
        <v>1</v>
      </c>
      <c r="F21" s="32">
        <v>0.8</v>
      </c>
      <c r="G21" s="32">
        <f t="shared" si="3"/>
        <v>7920</v>
      </c>
      <c r="H21" s="52">
        <f t="shared" si="1"/>
        <v>823680</v>
      </c>
      <c r="I21" s="52">
        <f t="shared" si="4"/>
        <v>2965.248</v>
      </c>
      <c r="J21" s="62">
        <f t="shared" si="2"/>
        <v>5.1377706088068797E-2</v>
      </c>
      <c r="K21" s="32"/>
    </row>
    <row r="22" spans="2:11" ht="14.7" thickBot="1" x14ac:dyDescent="0.6">
      <c r="B22" s="32" t="s">
        <v>126</v>
      </c>
      <c r="C22" s="32">
        <v>150</v>
      </c>
      <c r="D22" s="32" t="s">
        <v>148</v>
      </c>
      <c r="E22" s="32">
        <v>2</v>
      </c>
      <c r="F22" s="32">
        <v>0.8</v>
      </c>
      <c r="G22" s="32">
        <f t="shared" si="3"/>
        <v>7920</v>
      </c>
      <c r="H22" s="52">
        <f t="shared" si="1"/>
        <v>1900800</v>
      </c>
      <c r="I22" s="52">
        <f t="shared" si="4"/>
        <v>6842.88</v>
      </c>
      <c r="J22" s="62">
        <f t="shared" si="2"/>
        <v>0.11856393712631261</v>
      </c>
      <c r="K22" s="32"/>
    </row>
    <row r="23" spans="2:11" ht="14.7" thickBot="1" x14ac:dyDescent="0.6">
      <c r="B23" s="32" t="s">
        <v>132</v>
      </c>
      <c r="C23" s="32">
        <v>100</v>
      </c>
      <c r="D23" s="32" t="s">
        <v>148</v>
      </c>
      <c r="E23" s="32">
        <v>1</v>
      </c>
      <c r="F23" s="32">
        <v>0.8</v>
      </c>
      <c r="G23" s="32">
        <f t="shared" si="3"/>
        <v>7920</v>
      </c>
      <c r="H23" s="52">
        <f t="shared" si="1"/>
        <v>633600</v>
      </c>
      <c r="I23" s="52">
        <f t="shared" si="4"/>
        <v>2280.96</v>
      </c>
      <c r="J23" s="34">
        <f t="shared" si="2"/>
        <v>3.9521312375437538E-2</v>
      </c>
      <c r="K23" s="32"/>
    </row>
    <row r="24" spans="2:11" ht="14.7" thickBot="1" x14ac:dyDescent="0.6">
      <c r="B24" s="32" t="s">
        <v>128</v>
      </c>
      <c r="C24" s="32">
        <v>100</v>
      </c>
      <c r="D24" s="32" t="s">
        <v>148</v>
      </c>
      <c r="E24" s="32">
        <v>1</v>
      </c>
      <c r="F24" s="32">
        <v>0.8</v>
      </c>
      <c r="G24" s="32">
        <f t="shared" si="3"/>
        <v>7920</v>
      </c>
      <c r="H24" s="52">
        <f t="shared" si="1"/>
        <v>633600</v>
      </c>
      <c r="I24" s="52">
        <f t="shared" si="4"/>
        <v>2280.96</v>
      </c>
      <c r="J24" s="34">
        <f t="shared" si="2"/>
        <v>3.9521312375437538E-2</v>
      </c>
      <c r="K24" s="32"/>
    </row>
    <row r="25" spans="2:11" ht="14.7" thickBot="1" x14ac:dyDescent="0.6">
      <c r="B25" s="32" t="s">
        <v>122</v>
      </c>
      <c r="C25" s="32">
        <v>20</v>
      </c>
      <c r="D25" s="32" t="s">
        <v>148</v>
      </c>
      <c r="E25" s="32">
        <v>1</v>
      </c>
      <c r="F25" s="32">
        <v>0.8</v>
      </c>
      <c r="G25" s="32">
        <f t="shared" si="3"/>
        <v>7920</v>
      </c>
      <c r="H25" s="52">
        <f t="shared" si="1"/>
        <v>126720</v>
      </c>
      <c r="I25" s="52">
        <f t="shared" si="4"/>
        <v>456.19200000000001</v>
      </c>
      <c r="J25" s="34">
        <f t="shared" si="2"/>
        <v>7.904262475087508E-3</v>
      </c>
      <c r="K25" s="32"/>
    </row>
    <row r="26" spans="2:11" ht="14.7" thickBot="1" x14ac:dyDescent="0.6">
      <c r="B26" s="32" t="s">
        <v>138</v>
      </c>
      <c r="C26" s="32">
        <v>40</v>
      </c>
      <c r="D26" s="32" t="s">
        <v>148</v>
      </c>
      <c r="E26" s="32">
        <v>1</v>
      </c>
      <c r="F26" s="32">
        <v>0.8</v>
      </c>
      <c r="G26" s="32">
        <f t="shared" si="3"/>
        <v>7920</v>
      </c>
      <c r="H26" s="52">
        <f t="shared" si="1"/>
        <v>253440</v>
      </c>
      <c r="I26" s="52">
        <f t="shared" si="4"/>
        <v>912.38400000000001</v>
      </c>
      <c r="J26" s="34">
        <f t="shared" si="2"/>
        <v>1.5808524950175016E-2</v>
      </c>
      <c r="K26" s="32"/>
    </row>
    <row r="27" spans="2:11" ht="14.7" thickBot="1" x14ac:dyDescent="0.6">
      <c r="B27" s="32" t="s">
        <v>111</v>
      </c>
      <c r="C27" s="32">
        <v>30</v>
      </c>
      <c r="D27" s="32" t="s">
        <v>148</v>
      </c>
      <c r="E27" s="32">
        <v>1</v>
      </c>
      <c r="F27" s="32">
        <v>0.9</v>
      </c>
      <c r="G27" s="32">
        <f t="shared" si="3"/>
        <v>7920</v>
      </c>
      <c r="H27" s="52">
        <f t="shared" si="1"/>
        <v>213840</v>
      </c>
      <c r="I27" s="52">
        <f t="shared" si="4"/>
        <v>769.82399999999996</v>
      </c>
      <c r="J27" s="34">
        <f t="shared" si="2"/>
        <v>1.3338442926710168E-2</v>
      </c>
      <c r="K27" s="32"/>
    </row>
    <row r="28" spans="2:11" ht="14.7" thickBot="1" x14ac:dyDescent="0.6">
      <c r="B28" s="32" t="s">
        <v>24</v>
      </c>
      <c r="C28" s="32">
        <v>80</v>
      </c>
      <c r="D28" s="32" t="s">
        <v>148</v>
      </c>
      <c r="E28" s="32">
        <v>1</v>
      </c>
      <c r="F28" s="32">
        <v>0.85</v>
      </c>
      <c r="G28" s="32">
        <f t="shared" si="3"/>
        <v>7920</v>
      </c>
      <c r="H28" s="52">
        <f t="shared" si="1"/>
        <v>538560</v>
      </c>
      <c r="I28" s="52">
        <f t="shared" si="4"/>
        <v>1938.816</v>
      </c>
      <c r="J28" s="34">
        <f t="shared" si="2"/>
        <v>3.3593115519121905E-2</v>
      </c>
      <c r="K28" s="32"/>
    </row>
    <row r="29" spans="2:11" ht="14.7" thickBot="1" x14ac:dyDescent="0.6">
      <c r="B29" s="32" t="s">
        <v>139</v>
      </c>
      <c r="C29" s="32">
        <v>11</v>
      </c>
      <c r="D29" s="32" t="s">
        <v>148</v>
      </c>
      <c r="E29" s="32">
        <v>1</v>
      </c>
      <c r="F29" s="32">
        <v>0.9</v>
      </c>
      <c r="G29" s="32">
        <f t="shared" si="3"/>
        <v>7920</v>
      </c>
      <c r="H29" s="52">
        <f t="shared" si="1"/>
        <v>78408</v>
      </c>
      <c r="I29" s="52">
        <f t="shared" si="4"/>
        <v>282.2688</v>
      </c>
      <c r="J29" s="34">
        <f t="shared" si="2"/>
        <v>4.8907624064603947E-3</v>
      </c>
      <c r="K29" s="32"/>
    </row>
    <row r="30" spans="2:11" ht="14.7" thickBot="1" x14ac:dyDescent="0.6">
      <c r="B30" s="32" t="s">
        <v>26</v>
      </c>
      <c r="C30" s="32">
        <v>30</v>
      </c>
      <c r="D30" s="32" t="s">
        <v>148</v>
      </c>
      <c r="E30" s="32">
        <v>1</v>
      </c>
      <c r="F30" s="32">
        <v>0.9</v>
      </c>
      <c r="G30" s="32">
        <f t="shared" si="3"/>
        <v>7920</v>
      </c>
      <c r="H30" s="52">
        <f t="shared" si="1"/>
        <v>213840</v>
      </c>
      <c r="I30" s="52">
        <f t="shared" si="4"/>
        <v>769.82399999999996</v>
      </c>
      <c r="J30" s="34">
        <f t="shared" si="2"/>
        <v>1.3338442926710168E-2</v>
      </c>
      <c r="K30" s="32"/>
    </row>
    <row r="31" spans="2:11" ht="14.7" thickBot="1" x14ac:dyDescent="0.6">
      <c r="B31" s="32" t="s">
        <v>112</v>
      </c>
      <c r="C31" s="32"/>
      <c r="D31" s="32"/>
      <c r="E31" s="32"/>
      <c r="F31" s="32"/>
      <c r="G31" s="32"/>
      <c r="H31" s="52">
        <f>SUM(Data!C111,Data!E111,Data!G111)</f>
        <v>1207579</v>
      </c>
      <c r="I31" s="52">
        <f t="shared" si="4"/>
        <v>4347.2843999999996</v>
      </c>
      <c r="J31" s="62">
        <f t="shared" si="2"/>
        <v>7.5323716661960985E-2</v>
      </c>
      <c r="K31" s="32"/>
    </row>
    <row r="32" spans="2:11" ht="14.7" thickBot="1" x14ac:dyDescent="0.6">
      <c r="B32" s="32" t="s">
        <v>27</v>
      </c>
      <c r="C32" s="32"/>
      <c r="D32" s="32"/>
      <c r="E32" s="32"/>
      <c r="F32" s="32"/>
      <c r="G32" s="32"/>
      <c r="H32" s="39">
        <f>SUM(Data!D59,Data!F59,Data!G59)*0.1</f>
        <v>1457441.4800000002</v>
      </c>
      <c r="I32" s="52">
        <f t="shared" si="4"/>
        <v>5246.7893280000008</v>
      </c>
      <c r="J32" s="62">
        <f t="shared" si="2"/>
        <v>9.0909090909090912E-2</v>
      </c>
      <c r="K32" s="32" t="s">
        <v>113</v>
      </c>
    </row>
    <row r="33" spans="2:11" ht="14.7" thickBot="1" x14ac:dyDescent="0.6">
      <c r="B33" s="32" t="s">
        <v>175</v>
      </c>
      <c r="C33" s="32"/>
      <c r="D33" s="32"/>
      <c r="E33" s="32"/>
      <c r="F33" s="32"/>
      <c r="G33" s="32"/>
      <c r="H33" s="63">
        <f>SUM(Data!G59,Data!F59,Data!D59)-SUM(H17:H31)</f>
        <v>3859667.8000000007</v>
      </c>
      <c r="I33" s="63">
        <f t="shared" si="4"/>
        <v>13894.804080000002</v>
      </c>
      <c r="J33" s="62">
        <f t="shared" si="2"/>
        <v>0.24074990023550788</v>
      </c>
      <c r="K33" s="32"/>
    </row>
    <row r="34" spans="2:11" ht="14.7" thickBot="1" x14ac:dyDescent="0.6">
      <c r="B34" s="46" t="s">
        <v>119</v>
      </c>
      <c r="C34" s="46"/>
      <c r="D34" s="46"/>
      <c r="E34" s="46"/>
      <c r="F34" s="46"/>
      <c r="G34" s="46"/>
      <c r="H34" s="53">
        <f>SUM(H17:H33)</f>
        <v>16031856.280000001</v>
      </c>
      <c r="I34" s="52">
        <f>H34*0.0036</f>
        <v>57714.682608000003</v>
      </c>
      <c r="J34" s="34"/>
      <c r="K34" s="32"/>
    </row>
    <row r="36" spans="2:11" ht="14.7" thickBot="1" x14ac:dyDescent="0.6">
      <c r="B36" s="4" t="s">
        <v>90</v>
      </c>
      <c r="C36" s="2" t="s">
        <v>150</v>
      </c>
      <c r="D36" s="2"/>
    </row>
    <row r="37" spans="2:11" s="1" customFormat="1" ht="14.7" thickBot="1" x14ac:dyDescent="0.6">
      <c r="B37" s="46" t="s">
        <v>100</v>
      </c>
      <c r="C37" s="46" t="s">
        <v>147</v>
      </c>
      <c r="D37" s="46" t="s">
        <v>149</v>
      </c>
      <c r="E37" s="46" t="s">
        <v>131</v>
      </c>
      <c r="F37" s="46" t="s">
        <v>129</v>
      </c>
      <c r="G37" s="46" t="s">
        <v>117</v>
      </c>
      <c r="H37" s="46" t="s">
        <v>134</v>
      </c>
      <c r="I37" s="46" t="s">
        <v>98</v>
      </c>
      <c r="J37" s="44" t="s">
        <v>87</v>
      </c>
      <c r="K37" s="44" t="s">
        <v>88</v>
      </c>
    </row>
    <row r="38" spans="2:11" ht="14.7" thickBot="1" x14ac:dyDescent="0.6">
      <c r="B38" s="32" t="s">
        <v>123</v>
      </c>
      <c r="C38" s="32">
        <v>4</v>
      </c>
      <c r="D38" s="32" t="s">
        <v>162</v>
      </c>
      <c r="E38" s="32">
        <v>1</v>
      </c>
      <c r="F38" s="32">
        <v>0.8</v>
      </c>
      <c r="G38" s="32">
        <f t="shared" ref="G38:G41" si="5">330*24</f>
        <v>7920</v>
      </c>
      <c r="H38" s="52">
        <f t="shared" ref="H38:H41" si="6">C38*E38*F38*G38</f>
        <v>25344</v>
      </c>
      <c r="I38" s="52">
        <f>H38*Data!$C$42</f>
        <v>69834.378239999991</v>
      </c>
      <c r="J38" s="34">
        <f t="shared" ref="J38:J41" si="7">I38/$I$45</f>
        <v>0.14782321358337117</v>
      </c>
      <c r="K38" s="32"/>
    </row>
    <row r="39" spans="2:11" ht="14.7" thickBot="1" x14ac:dyDescent="0.6">
      <c r="B39" s="32" t="s">
        <v>181</v>
      </c>
      <c r="C39" s="32">
        <v>1.4</v>
      </c>
      <c r="D39" s="32" t="s">
        <v>162</v>
      </c>
      <c r="E39" s="32">
        <v>1</v>
      </c>
      <c r="F39" s="32">
        <v>0.8</v>
      </c>
      <c r="G39" s="32">
        <f t="shared" si="5"/>
        <v>7920</v>
      </c>
      <c r="H39" s="52">
        <f t="shared" si="6"/>
        <v>8870.4</v>
      </c>
      <c r="I39" s="52">
        <f>H39*Data!$C$42</f>
        <v>24442.032383999998</v>
      </c>
      <c r="J39" s="34">
        <f t="shared" si="7"/>
        <v>5.1738124754179916E-2</v>
      </c>
      <c r="K39" s="32"/>
    </row>
    <row r="40" spans="2:11" ht="14.7" thickBot="1" x14ac:dyDescent="0.6">
      <c r="B40" s="32" t="s">
        <v>182</v>
      </c>
      <c r="C40" s="32">
        <v>1</v>
      </c>
      <c r="D40" s="32" t="s">
        <v>162</v>
      </c>
      <c r="E40" s="32">
        <v>1</v>
      </c>
      <c r="F40" s="32">
        <v>0.8</v>
      </c>
      <c r="G40" s="32">
        <f t="shared" si="5"/>
        <v>7920</v>
      </c>
      <c r="H40" s="52">
        <f t="shared" si="6"/>
        <v>6336</v>
      </c>
      <c r="I40" s="52">
        <f>H40*Data!$C$42</f>
        <v>17458.594559999998</v>
      </c>
      <c r="J40" s="34">
        <f t="shared" si="7"/>
        <v>3.6955803395842791E-2</v>
      </c>
      <c r="K40" s="32"/>
    </row>
    <row r="41" spans="2:11" ht="14.7" thickBot="1" x14ac:dyDescent="0.6">
      <c r="B41" s="32" t="s">
        <v>124</v>
      </c>
      <c r="C41" s="32">
        <v>3</v>
      </c>
      <c r="D41" s="32" t="s">
        <v>162</v>
      </c>
      <c r="E41" s="32">
        <v>1</v>
      </c>
      <c r="F41" s="32">
        <v>0.8</v>
      </c>
      <c r="G41" s="32">
        <f t="shared" si="5"/>
        <v>7920</v>
      </c>
      <c r="H41" s="52">
        <f t="shared" si="6"/>
        <v>19008.000000000004</v>
      </c>
      <c r="I41" s="52">
        <f>H41*Data!$C$42</f>
        <v>52375.783680000008</v>
      </c>
      <c r="J41" s="34">
        <f t="shared" si="7"/>
        <v>0.11086741018752841</v>
      </c>
      <c r="K41" s="32"/>
    </row>
    <row r="42" spans="2:11" ht="14.7" thickBot="1" x14ac:dyDescent="0.6">
      <c r="B42" s="32" t="s">
        <v>152</v>
      </c>
      <c r="C42" s="30"/>
      <c r="D42" s="30"/>
      <c r="E42" s="30"/>
      <c r="F42" s="30"/>
      <c r="G42" s="30"/>
      <c r="H42" s="64">
        <f>SUM(Data!F77,Data!D77)-SUM('Energy Balance Solution'!H38:H41)</f>
        <v>9326.1600000000035</v>
      </c>
      <c r="I42" s="63">
        <f>H42*Data!$C$42</f>
        <v>25697.860833600007</v>
      </c>
      <c r="J42" s="34">
        <f>I42/$I$45</f>
        <v>5.4396422884812716E-2</v>
      </c>
      <c r="K42" s="30"/>
    </row>
    <row r="43" spans="2:11" ht="14.7" thickBot="1" x14ac:dyDescent="0.6">
      <c r="B43" s="65" t="s">
        <v>156</v>
      </c>
      <c r="C43" s="66"/>
      <c r="D43" s="66"/>
      <c r="E43" s="66"/>
      <c r="F43" s="66"/>
      <c r="G43" s="66"/>
      <c r="H43" s="64">
        <f>SUM(H38:H42)</f>
        <v>68884.560000000012</v>
      </c>
      <c r="I43" s="63">
        <f>H43*Data!$C$42</f>
        <v>189808.64969760002</v>
      </c>
      <c r="J43" s="34">
        <f>I43/$I$45</f>
        <v>0.40178097480573505</v>
      </c>
      <c r="K43" s="30"/>
    </row>
    <row r="44" spans="2:11" ht="14.7" thickBot="1" x14ac:dyDescent="0.6">
      <c r="B44" s="32" t="s">
        <v>157</v>
      </c>
      <c r="C44" s="30"/>
      <c r="D44" s="30"/>
      <c r="E44" s="30"/>
      <c r="F44" s="30"/>
      <c r="G44" s="30"/>
      <c r="H44" s="33"/>
      <c r="I44" s="56">
        <f>SUM(Data!C77,Data!E77)*Data!C40*0.0000042-I43</f>
        <v>92800.912515840057</v>
      </c>
      <c r="J44" s="34">
        <f>I44/$I$45</f>
        <v>0.19643805038852982</v>
      </c>
      <c r="K44" s="32" t="s">
        <v>151</v>
      </c>
    </row>
    <row r="45" spans="2:11" ht="14.7" thickBot="1" x14ac:dyDescent="0.6">
      <c r="B45" s="46" t="s">
        <v>153</v>
      </c>
      <c r="C45" s="30"/>
      <c r="D45" s="30"/>
      <c r="E45" s="30"/>
      <c r="F45" s="30"/>
      <c r="G45" s="30"/>
      <c r="H45" s="30"/>
      <c r="I45" s="57">
        <f>SUM(I38:I44)</f>
        <v>472418.21191104013</v>
      </c>
      <c r="J45" s="34"/>
      <c r="K45" s="30"/>
    </row>
    <row r="48" spans="2:11" ht="14.7" thickBot="1" x14ac:dyDescent="0.6">
      <c r="B48" s="47" t="s">
        <v>99</v>
      </c>
    </row>
    <row r="49" spans="2:7" ht="29.1" customHeight="1" x14ac:dyDescent="0.55000000000000004">
      <c r="B49" s="4" t="s">
        <v>155</v>
      </c>
      <c r="C49" s="71" t="s">
        <v>163</v>
      </c>
      <c r="D49" s="71"/>
      <c r="E49" s="71"/>
      <c r="F49" s="71"/>
      <c r="G49" s="71"/>
    </row>
    <row r="50" spans="2:7" ht="14.7" thickBot="1" x14ac:dyDescent="0.6"/>
    <row r="51" spans="2:7" ht="14.7" thickBot="1" x14ac:dyDescent="0.6">
      <c r="B51" s="31" t="s">
        <v>160</v>
      </c>
      <c r="C51" s="29" t="s">
        <v>82</v>
      </c>
      <c r="D51" s="31" t="s">
        <v>158</v>
      </c>
      <c r="E51" s="31" t="s">
        <v>149</v>
      </c>
      <c r="F51" s="31" t="s">
        <v>95</v>
      </c>
      <c r="G51" s="31" t="s">
        <v>96</v>
      </c>
    </row>
    <row r="52" spans="2:7" ht="29.1" thickBot="1" x14ac:dyDescent="0.6">
      <c r="B52" s="32" t="str">
        <f>B7</f>
        <v>Natural Gas for electricity</v>
      </c>
      <c r="C52" s="33">
        <f>E7</f>
        <v>141382.00818000003</v>
      </c>
      <c r="D52" s="58">
        <f>C52/Data!$C$29/0.001</f>
        <v>45.417906970319343</v>
      </c>
      <c r="E52" s="38" t="s">
        <v>159</v>
      </c>
      <c r="F52" s="60" t="s">
        <v>169</v>
      </c>
      <c r="G52" s="32" t="s">
        <v>183</v>
      </c>
    </row>
    <row r="53" spans="2:7" ht="43.5" thickBot="1" x14ac:dyDescent="0.6">
      <c r="B53" s="32" t="str">
        <f>B9</f>
        <v>Coal for Boilers</v>
      </c>
      <c r="C53" s="33">
        <f>E9</f>
        <v>282609.56221344008</v>
      </c>
      <c r="D53" s="58">
        <f>C53/Data!$C$29/0.001</f>
        <v>90.786196707513014</v>
      </c>
      <c r="E53" s="38" t="s">
        <v>159</v>
      </c>
      <c r="F53" s="60" t="s">
        <v>170</v>
      </c>
      <c r="G53" s="32" t="s">
        <v>184</v>
      </c>
    </row>
    <row r="54" spans="2:7" ht="14.7" thickBot="1" x14ac:dyDescent="0.6">
      <c r="B54" s="32" t="s">
        <v>161</v>
      </c>
      <c r="C54" s="33">
        <f>I18</f>
        <v>8339.76</v>
      </c>
      <c r="D54" s="58">
        <f>C54/Data!$C$29/0.001</f>
        <v>2.6790851870809123</v>
      </c>
      <c r="E54" s="38" t="s">
        <v>159</v>
      </c>
      <c r="F54" s="60" t="s">
        <v>97</v>
      </c>
      <c r="G54" s="32"/>
    </row>
    <row r="55" spans="2:7" ht="14.7" thickBot="1" x14ac:dyDescent="0.6">
      <c r="B55" s="32" t="s">
        <v>164</v>
      </c>
      <c r="C55" s="33">
        <f>I19</f>
        <v>3877.6320000000001</v>
      </c>
      <c r="D55" s="58">
        <f>C55/Data!$C$29/0.001</f>
        <v>1.2456601211726634</v>
      </c>
      <c r="E55" s="38" t="s">
        <v>159</v>
      </c>
      <c r="F55" s="60" t="s">
        <v>171</v>
      </c>
      <c r="G55" s="32"/>
    </row>
    <row r="56" spans="2:7" ht="14.7" thickBot="1" x14ac:dyDescent="0.6">
      <c r="B56" s="32" t="s">
        <v>165</v>
      </c>
      <c r="C56" s="33">
        <f>I21</f>
        <v>2965.248</v>
      </c>
      <c r="D56" s="58">
        <f>C56/Data!$C$29/0.001</f>
        <v>0.95256362207321321</v>
      </c>
      <c r="E56" s="38" t="s">
        <v>159</v>
      </c>
      <c r="F56" s="60"/>
      <c r="G56" s="32"/>
    </row>
    <row r="57" spans="2:7" ht="29.1" thickBot="1" x14ac:dyDescent="0.6">
      <c r="B57" s="32" t="s">
        <v>166</v>
      </c>
      <c r="C57" s="33">
        <f>I22</f>
        <v>6842.88</v>
      </c>
      <c r="D57" s="58">
        <f>C57/Data!$C$29/0.001</f>
        <v>2.1982237432458769</v>
      </c>
      <c r="E57" s="38" t="s">
        <v>159</v>
      </c>
      <c r="F57" s="60" t="s">
        <v>172</v>
      </c>
      <c r="G57" s="32"/>
    </row>
    <row r="58" spans="2:7" ht="29.1" thickBot="1" x14ac:dyDescent="0.6">
      <c r="B58" s="32" t="s">
        <v>167</v>
      </c>
      <c r="C58" s="33">
        <f>I31</f>
        <v>4347.2843999999996</v>
      </c>
      <c r="D58" s="58">
        <f>C58/Data!$C$29/0.001</f>
        <v>1.3965324230035312</v>
      </c>
      <c r="E58" s="38" t="s">
        <v>159</v>
      </c>
      <c r="F58" s="60" t="s">
        <v>173</v>
      </c>
      <c r="G58" s="32"/>
    </row>
    <row r="59" spans="2:7" ht="29.1" thickBot="1" x14ac:dyDescent="0.6">
      <c r="B59" s="32" t="s">
        <v>168</v>
      </c>
      <c r="C59" s="33">
        <f>I32</f>
        <v>5246.7893280000008</v>
      </c>
      <c r="D59" s="58">
        <f>C59/Data!$C$29/0.001</f>
        <v>1.6854916170703973</v>
      </c>
      <c r="E59" s="38" t="s">
        <v>159</v>
      </c>
      <c r="F59" s="60"/>
      <c r="G59" s="32" t="s">
        <v>174</v>
      </c>
    </row>
    <row r="60" spans="2:7" ht="29.1" thickBot="1" x14ac:dyDescent="0.6">
      <c r="B60" s="32" t="s">
        <v>175</v>
      </c>
      <c r="C60" s="33">
        <f>I33</f>
        <v>13894.804080000002</v>
      </c>
      <c r="D60" s="36">
        <f>J33</f>
        <v>0.24074990023550788</v>
      </c>
      <c r="E60" s="38" t="s">
        <v>176</v>
      </c>
      <c r="F60" s="60"/>
      <c r="G60" s="32" t="s">
        <v>174</v>
      </c>
    </row>
    <row r="61" spans="2:7" ht="14.7" thickBot="1" x14ac:dyDescent="0.6">
      <c r="B61" s="32" t="s">
        <v>123</v>
      </c>
      <c r="C61" s="33">
        <f>I38</f>
        <v>69834.378239999991</v>
      </c>
      <c r="D61" s="58">
        <f>C61/Data!$C$29/0.001</f>
        <v>22.433768872460305</v>
      </c>
      <c r="E61" s="38" t="s">
        <v>159</v>
      </c>
      <c r="F61" s="60" t="s">
        <v>171</v>
      </c>
      <c r="G61" s="32"/>
    </row>
    <row r="62" spans="2:7" ht="29.1" thickBot="1" x14ac:dyDescent="0.6">
      <c r="B62" s="32" t="s">
        <v>124</v>
      </c>
      <c r="C62" s="33">
        <f>I41</f>
        <v>52375.783680000008</v>
      </c>
      <c r="D62" s="58">
        <f>C62/Data!$C$29/0.001</f>
        <v>16.825326654345236</v>
      </c>
      <c r="E62" s="38" t="s">
        <v>159</v>
      </c>
      <c r="F62" s="60" t="s">
        <v>172</v>
      </c>
      <c r="G62" s="32"/>
    </row>
    <row r="63" spans="2:7" ht="29.1" thickBot="1" x14ac:dyDescent="0.6">
      <c r="B63" s="32" t="s">
        <v>152</v>
      </c>
      <c r="C63" s="59">
        <f>I42</f>
        <v>25697.860833600007</v>
      </c>
      <c r="D63" s="36">
        <f>J42</f>
        <v>5.4396422884812716E-2</v>
      </c>
      <c r="E63" s="30" t="s">
        <v>177</v>
      </c>
      <c r="F63" s="60"/>
      <c r="G63" s="32" t="s">
        <v>174</v>
      </c>
    </row>
  </sheetData>
  <mergeCells count="1">
    <mergeCell ref="C49:G4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709ED6611694E87078AC661BB6E32" ma:contentTypeVersion="10" ma:contentTypeDescription="Ein neues Dokument erstellen." ma:contentTypeScope="" ma:versionID="05428a30d81fa72d246b7dd05e38787a">
  <xsd:schema xmlns:xsd="http://www.w3.org/2001/XMLSchema" xmlns:xs="http://www.w3.org/2001/XMLSchema" xmlns:p="http://schemas.microsoft.com/office/2006/metadata/properties" xmlns:ns2="03dad9f7-eeac-4c02-ba14-375916eb47b1" xmlns:ns3="cdaba44c-56e2-426a-84fb-b2cd630ec321" targetNamespace="http://schemas.microsoft.com/office/2006/metadata/properties" ma:root="true" ma:fieldsID="efab7950252c613f449c9fc02cea4dd2" ns2:_="" ns3:_="">
    <xsd:import namespace="03dad9f7-eeac-4c02-ba14-375916eb47b1"/>
    <xsd:import namespace="cdaba44c-56e2-426a-84fb-b2cd630ec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ad9f7-eeac-4c02-ba14-375916eb47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ba44c-56e2-426a-84fb-b2cd630ec32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6a9903-b564-4237-a5c3-a49d1d4c27e3}" ma:internalName="TaxCatchAll" ma:showField="CatchAllData" ma:web="cdaba44c-56e2-426a-84fb-b2cd630ec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dad9f7-eeac-4c02-ba14-375916eb47b1">
      <Terms xmlns="http://schemas.microsoft.com/office/infopath/2007/PartnerControls"/>
    </lcf76f155ced4ddcb4097134ff3c332f>
    <TaxCatchAll xmlns="cdaba44c-56e2-426a-84fb-b2cd630ec321" xsi:nil="true"/>
    <MediaLengthInSeconds xmlns="03dad9f7-eeac-4c02-ba14-375916eb47b1" xsi:nil="true"/>
  </documentManagement>
</p:properties>
</file>

<file path=customXml/itemProps1.xml><?xml version="1.0" encoding="utf-8"?>
<ds:datastoreItem xmlns:ds="http://schemas.openxmlformats.org/officeDocument/2006/customXml" ds:itemID="{EA9D35F6-E178-45F2-BCA4-E551F78E8C7D}"/>
</file>

<file path=customXml/itemProps2.xml><?xml version="1.0" encoding="utf-8"?>
<ds:datastoreItem xmlns:ds="http://schemas.openxmlformats.org/officeDocument/2006/customXml" ds:itemID="{191A3A90-CAEE-4CF0-83E9-1882D0919CF7}"/>
</file>

<file path=customXml/itemProps3.xml><?xml version="1.0" encoding="utf-8"?>
<ds:datastoreItem xmlns:ds="http://schemas.openxmlformats.org/officeDocument/2006/customXml" ds:itemID="{F3EECDE8-D3A0-421D-8636-902EBD5FA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Energy Balance Solution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Salman Butt</dc:creator>
  <cp:lastModifiedBy>Salman Butt</cp:lastModifiedBy>
  <dcterms:created xsi:type="dcterms:W3CDTF">2021-09-25T10:04:28Z</dcterms:created>
  <dcterms:modified xsi:type="dcterms:W3CDTF">2021-11-25T11:56:59Z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0x0101004C2709ED6611694E87078AC661BB6E32</vt:lpwstr>
  </property>
  <property fmtid="{D5CDD505-2E9C-101B-9397-08002B2CF9AE}" pid="3" name="Order">
    <vt:r8>662600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